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IRP\IRP2021\DataRequests\DR02\JI\Response to 17\"/>
    </mc:Choice>
  </mc:AlternateContent>
  <xr:revisionPtr revIDLastSave="0" documentId="13_ncr:1_{3082160E-0F08-45A8-A425-2665A9F8D99F}" xr6:coauthVersionLast="47" xr6:coauthVersionMax="47" xr10:uidLastSave="{00000000-0000-0000-0000-000000000000}"/>
  <bookViews>
    <workbookView xWindow="-28920" yWindow="-120" windowWidth="29040" windowHeight="15840" xr2:uid="{BB031DCE-998D-4776-8CEE-767618D4DFCB}"/>
  </bookViews>
  <sheets>
    <sheet name="Capital" sheetId="1" r:id="rId1"/>
    <sheet name="Fixed O&amp;M" sheetId="2" r:id="rId2"/>
    <sheet name="Firm Gas Transport" sheetId="6" r:id="rId3"/>
    <sheet name="Start Cost" sheetId="7" r:id="rId4"/>
  </sheets>
  <definedNames>
    <definedName name="_xlnm.Print_Titles" localSheetId="0">Capital!$47:$48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5" i="1"/>
  <c r="C59" i="7"/>
  <c r="G47" i="7"/>
  <c r="G40" i="7"/>
  <c r="C41" i="7"/>
  <c r="C22" i="7"/>
  <c r="E22" i="7" s="1"/>
  <c r="C21" i="7"/>
  <c r="E21" i="7" s="1"/>
  <c r="E12" i="7"/>
  <c r="C38" i="7" l="1"/>
  <c r="G38" i="7"/>
  <c r="C39" i="7"/>
  <c r="G39" i="7"/>
  <c r="E6" i="7"/>
  <c r="E14" i="7"/>
  <c r="E7" i="7"/>
  <c r="E15" i="7"/>
  <c r="E8" i="7"/>
  <c r="E17" i="7"/>
  <c r="E18" i="7"/>
  <c r="E16" i="7"/>
  <c r="E9" i="7"/>
  <c r="E23" i="7"/>
  <c r="E10" i="7"/>
  <c r="E24" i="7"/>
  <c r="E11" i="7"/>
  <c r="E19" i="7"/>
  <c r="G37" i="7" l="1"/>
  <c r="C37" i="7"/>
  <c r="E20" i="7"/>
  <c r="E13" i="7"/>
  <c r="G46" i="7"/>
  <c r="C40" i="7"/>
  <c r="C44" i="7" l="1"/>
  <c r="G36" i="7"/>
  <c r="C50" i="7"/>
  <c r="G50" i="7"/>
  <c r="G33" i="7"/>
  <c r="C33" i="7"/>
  <c r="G31" i="7"/>
  <c r="C31" i="7"/>
  <c r="C36" i="7"/>
  <c r="G45" i="7"/>
  <c r="G35" i="7" l="1"/>
  <c r="G44" i="7"/>
  <c r="C35" i="7"/>
  <c r="C53" i="7" s="1"/>
  <c r="G53" i="7" l="1"/>
  <c r="C57" i="7" s="1"/>
  <c r="C58" i="7" s="1"/>
  <c r="C60" i="7" s="1"/>
  <c r="D49" i="6" l="1"/>
  <c r="C49" i="6"/>
  <c r="E45" i="6"/>
  <c r="H43" i="6"/>
  <c r="H45" i="6" s="1"/>
  <c r="G43" i="6"/>
  <c r="G45" i="6" s="1"/>
  <c r="F43" i="6"/>
  <c r="F45" i="6" s="1"/>
  <c r="E43" i="6"/>
  <c r="D43" i="6"/>
  <c r="D45" i="6" s="1"/>
  <c r="I38" i="6"/>
  <c r="G38" i="6"/>
  <c r="J36" i="6"/>
  <c r="J38" i="6" s="1"/>
  <c r="I36" i="6"/>
  <c r="H36" i="6"/>
  <c r="H38" i="6" s="1"/>
  <c r="G36" i="6"/>
  <c r="F36" i="6"/>
  <c r="F38" i="6" s="1"/>
  <c r="E36" i="6"/>
  <c r="E38" i="6" s="1"/>
  <c r="D36" i="6"/>
  <c r="D38" i="6" s="1"/>
  <c r="C33" i="6"/>
  <c r="H31" i="6"/>
  <c r="E31" i="6"/>
  <c r="J29" i="6"/>
  <c r="J31" i="6" s="1"/>
  <c r="I29" i="6"/>
  <c r="I31" i="6" s="1"/>
  <c r="H29" i="6"/>
  <c r="G29" i="6"/>
  <c r="G31" i="6" s="1"/>
  <c r="F29" i="6"/>
  <c r="F31" i="6" s="1"/>
  <c r="E29" i="6"/>
  <c r="D29" i="6"/>
  <c r="D31" i="6" s="1"/>
  <c r="C26" i="6"/>
  <c r="H21" i="6"/>
  <c r="D21" i="6"/>
  <c r="H19" i="6"/>
  <c r="G19" i="6"/>
  <c r="G21" i="6" s="1"/>
  <c r="F19" i="6"/>
  <c r="F21" i="6" s="1"/>
  <c r="E19" i="6"/>
  <c r="E21" i="6" s="1"/>
  <c r="D19" i="6"/>
  <c r="C16" i="6"/>
  <c r="H14" i="6"/>
  <c r="J12" i="6"/>
  <c r="J14" i="6" s="1"/>
  <c r="I12" i="6"/>
  <c r="I14" i="6" s="1"/>
  <c r="H12" i="6"/>
  <c r="G12" i="6"/>
  <c r="G14" i="6" s="1"/>
  <c r="F12" i="6"/>
  <c r="F14" i="6" s="1"/>
  <c r="E12" i="6"/>
  <c r="E14" i="6" s="1"/>
  <c r="D12" i="6"/>
  <c r="D14" i="6" s="1"/>
  <c r="F7" i="6"/>
  <c r="D7" i="6"/>
  <c r="J5" i="6"/>
  <c r="J7" i="6" s="1"/>
  <c r="I5" i="6"/>
  <c r="I7" i="6" s="1"/>
  <c r="H5" i="6"/>
  <c r="H7" i="6" s="1"/>
  <c r="G5" i="6"/>
  <c r="G7" i="6" s="1"/>
  <c r="F5" i="6"/>
  <c r="E5" i="6"/>
  <c r="E7" i="6" s="1"/>
  <c r="D5" i="6"/>
  <c r="C48" i="6" l="1"/>
  <c r="C50" i="6" s="1"/>
  <c r="D48" i="6"/>
  <c r="D50" i="6" s="1"/>
  <c r="D5" i="2" l="1"/>
  <c r="C5" i="2"/>
  <c r="F50" i="1" l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F83" i="1" s="1"/>
  <c r="G80" i="1"/>
  <c r="G83" i="1" s="1"/>
  <c r="H80" i="1"/>
  <c r="H83" i="1" s="1"/>
  <c r="G49" i="1"/>
  <c r="H49" i="1"/>
  <c r="F49" i="1"/>
  <c r="H20" i="1"/>
  <c r="H21" i="1" s="1"/>
  <c r="H22" i="1"/>
  <c r="H26" i="1" s="1"/>
  <c r="H27" i="1" s="1"/>
  <c r="H28" i="1" s="1"/>
  <c r="H29" i="1" s="1"/>
  <c r="H34" i="1" s="1"/>
  <c r="G82" i="1" l="1"/>
  <c r="H82" i="1"/>
  <c r="F82" i="1"/>
  <c r="D8" i="1"/>
  <c r="C8" i="1"/>
  <c r="B8" i="1"/>
  <c r="B45" i="1" l="1"/>
  <c r="C45" i="1"/>
  <c r="G86" i="1" s="1"/>
  <c r="G87" i="1" s="1"/>
  <c r="H86" i="1"/>
  <c r="H87" i="1" s="1"/>
  <c r="F86" i="1" l="1"/>
  <c r="F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3" authorId="0" shapeId="0" xr:uid="{C9E7C41E-2438-4ED8-A142-B830C7C7CA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MI/HGP costs include parts refurbishing that will not be necessary in the outage where combustion and HGP hardware are being replaced</t>
        </r>
      </text>
    </comment>
    <comment ref="C56" authorId="0" shapeId="0" xr:uid="{30BDC358-A94B-4AE3-97A7-ACCF86953E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plant estimate based on historical consumed rotor factored starts and the expected rotor life of 7,400 rotor factored starts</t>
        </r>
      </text>
    </comment>
    <comment ref="C57" authorId="0" shapeId="0" xr:uid="{DF8E4544-B5DE-4537-B83B-266B80BBA6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weighted 2x for TC5-6 and 4x for TC7-10</t>
        </r>
      </text>
    </comment>
  </commentList>
</comments>
</file>

<file path=xl/sharedStrings.xml><?xml version="1.0" encoding="utf-8"?>
<sst xmlns="http://schemas.openxmlformats.org/spreadsheetml/2006/main" count="247" uniqueCount="144">
  <si>
    <t>M501JAC</t>
  </si>
  <si>
    <t>Capacity MW</t>
  </si>
  <si>
    <t>$/kW</t>
  </si>
  <si>
    <t>EPC Cost (,000)</t>
  </si>
  <si>
    <t>Options</t>
  </si>
  <si>
    <t xml:space="preserve">   Gas Compression</t>
  </si>
  <si>
    <t xml:space="preserve">   SCR to 2 ppm Nox</t>
  </si>
  <si>
    <t xml:space="preserve">   Ti Condenser</t>
  </si>
  <si>
    <t>EPC Cost W/ Options (,000)</t>
  </si>
  <si>
    <t>Owner's Cost</t>
  </si>
  <si>
    <t>Project Development</t>
  </si>
  <si>
    <t>T Line Relocation</t>
  </si>
  <si>
    <t>Elec Direct Interconection</t>
  </si>
  <si>
    <t>NG Pipeline</t>
  </si>
  <si>
    <t>NG FO&amp;M Start-up period</t>
  </si>
  <si>
    <t>Const. Power</t>
  </si>
  <si>
    <t>Const Power Infrastructure</t>
  </si>
  <si>
    <t>Owner's Operators Prior COD</t>
  </si>
  <si>
    <t>Owner's Project Management</t>
  </si>
  <si>
    <t>Owner's Engineer</t>
  </si>
  <si>
    <t>Owner's Legal</t>
  </si>
  <si>
    <t>Operator Training</t>
  </si>
  <si>
    <t>Startup &amp; Testing Net Cost</t>
  </si>
  <si>
    <t>Site Security</t>
  </si>
  <si>
    <t>LTSA Initial Payment</t>
  </si>
  <si>
    <t>Perm Plant Eq. &amp; Furn.</t>
  </si>
  <si>
    <t>IT &amp; Telecom</t>
  </si>
  <si>
    <t>NERC Cyber Security</t>
  </si>
  <si>
    <t>Prop. Tax during Const.</t>
  </si>
  <si>
    <t>Sales Tax</t>
  </si>
  <si>
    <t>Total Owner's Cost</t>
  </si>
  <si>
    <t>Owner's Cost Contingency</t>
  </si>
  <si>
    <t>Owner's EPC Contingency</t>
  </si>
  <si>
    <t>Total Owner's Cost &amp; Cont.</t>
  </si>
  <si>
    <t>Total Project Cost</t>
  </si>
  <si>
    <t>Owner's Cost % of EPC</t>
  </si>
  <si>
    <t>F Class Peaker</t>
  </si>
  <si>
    <t>Peaker scaled from 2 unit estimate</t>
  </si>
  <si>
    <t xml:space="preserve">NGCC BACT for Nox </t>
  </si>
  <si>
    <t>2X F Class</t>
  </si>
  <si>
    <t>Capacity MW Ave Life</t>
  </si>
  <si>
    <t>Developed from CR7 Experience</t>
  </si>
  <si>
    <t>CR7 Actual</t>
  </si>
  <si>
    <t>inc. VO&amp;M Water Chem fr 4-22-16 HDR Report</t>
  </si>
  <si>
    <t>Developed Fr. 4-22-16 HDR Report</t>
  </si>
  <si>
    <t>Developed by consullting LG&amp;E Tax Dept for CR7</t>
  </si>
  <si>
    <t>Rapidly evolving requirement</t>
  </si>
  <si>
    <t>Estimate for firm gas transport on interstate PL</t>
  </si>
  <si>
    <t>Notes</t>
  </si>
  <si>
    <t>$/kW Scaled to 2026 NREL Build, 2026$</t>
  </si>
  <si>
    <t>Nominal CAGR (2019-2026)</t>
  </si>
  <si>
    <t>Nominal CAGR (2026-2050)</t>
  </si>
  <si>
    <t>$/kW Using Long-Term NREL Escalation Rate, 2019$</t>
  </si>
  <si>
    <t>1x1 NGCC</t>
  </si>
  <si>
    <t>Single SCCT</t>
  </si>
  <si>
    <t>Multiple SCCT</t>
  </si>
  <si>
    <t>New &amp; Clean</t>
  </si>
  <si>
    <t>Degraded</t>
  </si>
  <si>
    <t>2019 NREL ATB Real $/kW (2017$)</t>
  </si>
  <si>
    <t>2019 NREL ATB Nominal $/kW</t>
  </si>
  <si>
    <t>Fixed O&amp;M</t>
  </si>
  <si>
    <t>NREL 2019 ATB Fixed O&amp;M ($/kW-yr, 2017$)</t>
  </si>
  <si>
    <t>Trimble County Gas Turbines + Plant</t>
  </si>
  <si>
    <t>April</t>
  </si>
  <si>
    <t>May</t>
  </si>
  <si>
    <t>June</t>
  </si>
  <si>
    <t>July</t>
  </si>
  <si>
    <t>August</t>
  </si>
  <si>
    <t>September</t>
  </si>
  <si>
    <t>October</t>
  </si>
  <si>
    <t>Summer</t>
  </si>
  <si>
    <t>Demand</t>
  </si>
  <si>
    <t>Daily Charge</t>
  </si>
  <si>
    <t>Days in Month</t>
  </si>
  <si>
    <t>Monthly Charge</t>
  </si>
  <si>
    <t>Jan</t>
  </si>
  <si>
    <t>Feb</t>
  </si>
  <si>
    <t>Mar</t>
  </si>
  <si>
    <t>Nov</t>
  </si>
  <si>
    <t>Dec</t>
  </si>
  <si>
    <t>Winter</t>
  </si>
  <si>
    <t>Cane Run + Paddys Run</t>
  </si>
  <si>
    <t>Firm Gas ($/kW-yr, 2019$)</t>
  </si>
  <si>
    <t>Cane Run 7 / NGCC</t>
  </si>
  <si>
    <t>Trimble County CTs / SCCT</t>
  </si>
  <si>
    <t>SNS Capacity</t>
  </si>
  <si>
    <t>STF Capacity</t>
  </si>
  <si>
    <t>WNS Capacity</t>
  </si>
  <si>
    <t>Firm Gas Total (2019 Actual, 2019$)</t>
  </si>
  <si>
    <t>Average Max Capacity (MW)</t>
  </si>
  <si>
    <t>NREL 2019 ATB Fixed O&amp;M ($/kW-yr, 2019$)</t>
  </si>
  <si>
    <t>NGCC</t>
  </si>
  <si>
    <t>SCCT</t>
  </si>
  <si>
    <t>Year</t>
  </si>
  <si>
    <t>Escalation Rate (%)</t>
  </si>
  <si>
    <t>Cost Year</t>
  </si>
  <si>
    <t>As-Spent $</t>
  </si>
  <si>
    <t>As-Spent Year</t>
  </si>
  <si>
    <t>Cost Year $</t>
  </si>
  <si>
    <t>Source</t>
  </si>
  <si>
    <t>TC6 MI #1</t>
  </si>
  <si>
    <t>Budget Actuals</t>
  </si>
  <si>
    <t>TC5 MI #1</t>
  </si>
  <si>
    <t>TC8 MI #1</t>
  </si>
  <si>
    <t>TC7 MI #1</t>
  </si>
  <si>
    <t>TC9 MI #1</t>
  </si>
  <si>
    <t>TC10 MI #1</t>
  </si>
  <si>
    <t>TC5 MI #2</t>
  </si>
  <si>
    <t>Projected from Bid Process</t>
  </si>
  <si>
    <t>Average Expected MI Cost</t>
  </si>
  <si>
    <t>TC6 HGP #1</t>
  </si>
  <si>
    <t>TC5 HGP #1</t>
  </si>
  <si>
    <t>TC7 HGP #1</t>
  </si>
  <si>
    <t>TC9 HGP #1</t>
  </si>
  <si>
    <t>TC8 HGP #1</t>
  </si>
  <si>
    <t>TC10 HGP #1</t>
  </si>
  <si>
    <t>Average Expected HGP Cost</t>
  </si>
  <si>
    <t>New Combustion Hardware</t>
  </si>
  <si>
    <t>New HGP Hardware</t>
  </si>
  <si>
    <t>Parts Refurb Not Needed</t>
  </si>
  <si>
    <t>Rotor Refurb Cost</t>
  </si>
  <si>
    <t>Estimate based on vendor feedback</t>
  </si>
  <si>
    <t>TC5-6</t>
  </si>
  <si>
    <t>TC7-10</t>
  </si>
  <si>
    <t>Major Inspection #1</t>
  </si>
  <si>
    <t>Hot Gas Path Inspection #1</t>
  </si>
  <si>
    <t>Major Inspection #2 + Rotor Inspection (Total)</t>
  </si>
  <si>
    <t>Hot Gas Path Inspection #2 (Total)</t>
  </si>
  <si>
    <t>MI #2 Outage</t>
  </si>
  <si>
    <t>HGP #2 Outage</t>
  </si>
  <si>
    <t>Rotor Refurb</t>
  </si>
  <si>
    <t>Contingency (10%)</t>
  </si>
  <si>
    <t>Hot Gas Path Inspection #2</t>
  </si>
  <si>
    <t>Hot Gas Path Inspection #3</t>
  </si>
  <si>
    <t>Total</t>
  </si>
  <si>
    <t>Estimated Starts In Usable Life</t>
  </si>
  <si>
    <t>Outage Costs Over Unit's Lifecycle</t>
  </si>
  <si>
    <t>Outage Cost Per Start</t>
  </si>
  <si>
    <t>Average MW</t>
  </si>
  <si>
    <t>Outage Cost Per MWh On 12-hour Run At Max Load</t>
  </si>
  <si>
    <t>Expected Under Current Contract</t>
  </si>
  <si>
    <t>Line-Item of Parts Refurb from Current Contract</t>
  </si>
  <si>
    <t>GE Parts List w/ Discount Per Current Contract</t>
  </si>
  <si>
    <t>CONFIDENTIAL INFORMATION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</si>
</sst>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_(* #,##0.0_);_(* \(#,##0.0\);_(* &quot;-&quot;??_);_(@_)"/>
    <numFmt numFmtId="167" formatCode="0.0"/>
    <numFmt numFmtId="168" formatCode="_(&quot;$&quot;* #,##0.00000_);_(&quot;$&quot;* \(#,##0.00000\);_(&quot;$&quot;* &quot;-&quot;?????_);_(@_)"/>
    <numFmt numFmtId="169" formatCode="0.0%"/>
    <numFmt numFmtId="170" formatCode="_(&quot;$&quot;* #,##0_);_(&quot;$&quot;* \(#,##0\);_(&quot;$&quot;* &quot;-&quot;??_);_(@_)"/>
    <numFmt numFmtId="171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166" fontId="0" fillId="0" borderId="0" xfId="1" applyNumberFormat="1" applyFont="1"/>
    <xf numFmtId="164" fontId="2" fillId="0" borderId="2" xfId="1" applyNumberFormat="1" applyFont="1" applyFill="1" applyBorder="1"/>
    <xf numFmtId="5" fontId="2" fillId="0" borderId="2" xfId="1" applyNumberFormat="1" applyFont="1" applyFill="1" applyBorder="1"/>
    <xf numFmtId="5" fontId="2" fillId="0" borderId="0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2" xfId="0" applyFont="1" applyFill="1" applyBorder="1"/>
    <xf numFmtId="168" fontId="2" fillId="0" borderId="2" xfId="3" applyNumberFormat="1" applyFont="1" applyFill="1" applyBorder="1"/>
    <xf numFmtId="5" fontId="3" fillId="0" borderId="0" xfId="0" applyNumberFormat="1" applyFont="1" applyFill="1"/>
    <xf numFmtId="5" fontId="3" fillId="0" borderId="0" xfId="0" applyNumberFormat="1" applyFont="1"/>
    <xf numFmtId="164" fontId="3" fillId="0" borderId="0" xfId="1" applyNumberFormat="1" applyFont="1"/>
    <xf numFmtId="7" fontId="3" fillId="0" borderId="0" xfId="0" applyNumberFormat="1" applyFont="1"/>
    <xf numFmtId="0" fontId="3" fillId="0" borderId="0" xfId="0" applyFont="1" applyFill="1" applyAlignment="1">
      <alignment horizontal="right"/>
    </xf>
    <xf numFmtId="169" fontId="0" fillId="0" borderId="0" xfId="2" applyNumberFormat="1" applyFont="1"/>
    <xf numFmtId="0" fontId="0" fillId="0" borderId="0" xfId="0" applyAlignment="1">
      <alignment horizontal="center"/>
    </xf>
    <xf numFmtId="37" fontId="0" fillId="0" borderId="0" xfId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70" fontId="3" fillId="0" borderId="0" xfId="3" applyNumberFormat="1" applyFont="1"/>
    <xf numFmtId="170" fontId="4" fillId="0" borderId="0" xfId="3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/>
    <xf numFmtId="164" fontId="0" fillId="2" borderId="0" xfId="1" applyNumberFormat="1" applyFont="1" applyFill="1"/>
    <xf numFmtId="165" fontId="0" fillId="2" borderId="0" xfId="0" applyNumberFormat="1" applyFill="1"/>
    <xf numFmtId="9" fontId="0" fillId="2" borderId="0" xfId="2" applyFont="1" applyFill="1"/>
    <xf numFmtId="0" fontId="0" fillId="0" borderId="0" xfId="0" applyFont="1"/>
    <xf numFmtId="0" fontId="0" fillId="0" borderId="1" xfId="0" applyBorder="1" applyAlignment="1">
      <alignment horizontal="center"/>
    </xf>
    <xf numFmtId="169" fontId="3" fillId="0" borderId="0" xfId="2" applyNumberFormat="1" applyFont="1"/>
    <xf numFmtId="170" fontId="3" fillId="0" borderId="0" xfId="3" applyNumberFormat="1" applyFont="1" applyFill="1"/>
    <xf numFmtId="171" fontId="3" fillId="0" borderId="0" xfId="1" applyNumberFormat="1" applyFont="1" applyFill="1"/>
    <xf numFmtId="171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left" indent="1"/>
    </xf>
    <xf numFmtId="170" fontId="4" fillId="0" borderId="0" xfId="0" applyNumberFormat="1" applyFont="1"/>
    <xf numFmtId="170" fontId="3" fillId="0" borderId="0" xfId="0" applyNumberFormat="1" applyFont="1"/>
    <xf numFmtId="44" fontId="3" fillId="0" borderId="0" xfId="0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9FBE-995D-4962-A35C-FA75D084B4BF}">
  <sheetPr>
    <tabColor theme="1"/>
    <pageSetUpPr fitToPage="1"/>
  </sheetPr>
  <dimension ref="A1:I89"/>
  <sheetViews>
    <sheetView tabSelected="1" zoomScaleNormal="100" workbookViewId="0"/>
  </sheetViews>
  <sheetFormatPr defaultRowHeight="14.5" x14ac:dyDescent="0.35"/>
  <cols>
    <col min="1" max="1" width="46.453125" customWidth="1"/>
    <col min="2" max="4" width="12.81640625" customWidth="1"/>
    <col min="6" max="8" width="11.26953125" customWidth="1"/>
  </cols>
  <sheetData>
    <row r="1" spans="1:8" x14ac:dyDescent="0.35">
      <c r="A1" s="35" t="s">
        <v>143</v>
      </c>
    </row>
    <row r="2" spans="1:8" x14ac:dyDescent="0.35">
      <c r="A2" s="6">
        <v>43872</v>
      </c>
    </row>
    <row r="3" spans="1:8" x14ac:dyDescent="0.35">
      <c r="B3" s="3" t="s">
        <v>0</v>
      </c>
      <c r="C3" s="3" t="s">
        <v>36</v>
      </c>
      <c r="D3" s="3" t="s">
        <v>39</v>
      </c>
      <c r="E3" s="36" t="s">
        <v>48</v>
      </c>
      <c r="F3" s="36"/>
      <c r="G3" s="36"/>
      <c r="H3" s="36"/>
    </row>
    <row r="4" spans="1:8" x14ac:dyDescent="0.35">
      <c r="B4" s="30"/>
      <c r="C4" s="30"/>
      <c r="D4" s="30"/>
    </row>
    <row r="5" spans="1:8" x14ac:dyDescent="0.35">
      <c r="B5" s="1">
        <v>43831</v>
      </c>
      <c r="C5" s="1">
        <v>43831</v>
      </c>
      <c r="D5" s="1">
        <f>B5</f>
        <v>43831</v>
      </c>
    </row>
    <row r="7" spans="1:8" x14ac:dyDescent="0.35">
      <c r="A7" t="s">
        <v>1</v>
      </c>
      <c r="B7">
        <v>585</v>
      </c>
      <c r="C7">
        <v>220</v>
      </c>
      <c r="D7">
        <v>440</v>
      </c>
      <c r="E7" t="s">
        <v>56</v>
      </c>
    </row>
    <row r="8" spans="1:8" x14ac:dyDescent="0.35">
      <c r="A8" t="s">
        <v>40</v>
      </c>
      <c r="B8" s="5">
        <f>0.9712*B7</f>
        <v>568.15199999999993</v>
      </c>
      <c r="C8" s="5">
        <f>0.9712*C7</f>
        <v>213.66399999999999</v>
      </c>
      <c r="D8" s="5">
        <f>0.9712*D7</f>
        <v>427.32799999999997</v>
      </c>
      <c r="E8" t="s">
        <v>57</v>
      </c>
    </row>
    <row r="9" spans="1:8" x14ac:dyDescent="0.35">
      <c r="A9" t="s">
        <v>2</v>
      </c>
      <c r="B9" s="31"/>
      <c r="C9" s="31"/>
      <c r="D9" s="31"/>
    </row>
    <row r="10" spans="1:8" x14ac:dyDescent="0.35">
      <c r="A10" t="s">
        <v>3</v>
      </c>
      <c r="B10" s="32"/>
      <c r="C10" s="32"/>
      <c r="D10" s="32"/>
      <c r="E10" t="s">
        <v>37</v>
      </c>
    </row>
    <row r="11" spans="1:8" x14ac:dyDescent="0.35">
      <c r="A11" t="s">
        <v>4</v>
      </c>
    </row>
    <row r="12" spans="1:8" x14ac:dyDescent="0.35">
      <c r="A12" t="s">
        <v>5</v>
      </c>
      <c r="B12" s="32"/>
      <c r="C12" s="32"/>
      <c r="D12" s="32"/>
    </row>
    <row r="13" spans="1:8" x14ac:dyDescent="0.35">
      <c r="A13" t="s">
        <v>6</v>
      </c>
      <c r="B13" s="32"/>
      <c r="C13" s="32"/>
      <c r="D13" s="32"/>
      <c r="E13" t="s">
        <v>38</v>
      </c>
    </row>
    <row r="14" spans="1:8" x14ac:dyDescent="0.35">
      <c r="A14" t="s">
        <v>7</v>
      </c>
      <c r="B14" s="32"/>
      <c r="C14" s="32"/>
      <c r="D14" s="32"/>
    </row>
    <row r="15" spans="1:8" x14ac:dyDescent="0.35">
      <c r="A15" t="s">
        <v>8</v>
      </c>
      <c r="B15" s="31"/>
      <c r="C15" s="31"/>
      <c r="D15" s="31"/>
    </row>
    <row r="18" spans="1:9" x14ac:dyDescent="0.35">
      <c r="A18" t="s">
        <v>9</v>
      </c>
    </row>
    <row r="19" spans="1:9" x14ac:dyDescent="0.35">
      <c r="A19" t="s">
        <v>10</v>
      </c>
      <c r="B19" s="32"/>
      <c r="C19" s="32"/>
      <c r="D19" s="32"/>
      <c r="E19" t="s">
        <v>41</v>
      </c>
      <c r="H19" t="s">
        <v>42</v>
      </c>
      <c r="I19">
        <v>1748</v>
      </c>
    </row>
    <row r="20" spans="1:9" x14ac:dyDescent="0.35">
      <c r="A20" t="s">
        <v>11</v>
      </c>
      <c r="B20" s="32"/>
      <c r="C20" s="32"/>
      <c r="D20" s="32"/>
      <c r="E20" t="s">
        <v>41</v>
      </c>
      <c r="H20" t="str">
        <f>H19</f>
        <v>CR7 Actual</v>
      </c>
      <c r="I20">
        <v>11471</v>
      </c>
    </row>
    <row r="21" spans="1:9" x14ac:dyDescent="0.35">
      <c r="A21" t="s">
        <v>12</v>
      </c>
      <c r="B21" s="32"/>
      <c r="C21" s="32"/>
      <c r="D21" s="32"/>
      <c r="E21" t="s">
        <v>41</v>
      </c>
      <c r="H21" t="str">
        <f>H20</f>
        <v>CR7 Actual</v>
      </c>
      <c r="I21">
        <v>2435</v>
      </c>
    </row>
    <row r="22" spans="1:9" x14ac:dyDescent="0.35">
      <c r="A22" t="s">
        <v>13</v>
      </c>
      <c r="B22" s="32"/>
      <c r="C22" s="32"/>
      <c r="D22" s="32"/>
      <c r="E22" t="s">
        <v>41</v>
      </c>
      <c r="H22" t="str">
        <f>H19</f>
        <v>CR7 Actual</v>
      </c>
      <c r="I22">
        <v>30038</v>
      </c>
    </row>
    <row r="23" spans="1:9" x14ac:dyDescent="0.35">
      <c r="A23" t="s">
        <v>14</v>
      </c>
      <c r="B23" s="32"/>
      <c r="C23" s="32"/>
      <c r="D23" s="32"/>
      <c r="E23" t="s">
        <v>47</v>
      </c>
    </row>
    <row r="24" spans="1:9" x14ac:dyDescent="0.35">
      <c r="A24" t="s">
        <v>15</v>
      </c>
      <c r="B24" s="32"/>
      <c r="C24" s="32"/>
      <c r="D24" s="32"/>
      <c r="E24" t="s">
        <v>44</v>
      </c>
    </row>
    <row r="25" spans="1:9" x14ac:dyDescent="0.35">
      <c r="A25" t="s">
        <v>16</v>
      </c>
      <c r="B25" s="32"/>
      <c r="C25" s="32"/>
      <c r="D25" s="32"/>
      <c r="E25" t="s">
        <v>44</v>
      </c>
    </row>
    <row r="26" spans="1:9" x14ac:dyDescent="0.35">
      <c r="A26" t="s">
        <v>17</v>
      </c>
      <c r="B26" s="32"/>
      <c r="C26" s="32"/>
      <c r="D26" s="32"/>
      <c r="E26" t="s">
        <v>41</v>
      </c>
      <c r="H26" t="str">
        <f>H22</f>
        <v>CR7 Actual</v>
      </c>
      <c r="I26">
        <v>5047</v>
      </c>
    </row>
    <row r="27" spans="1:9" x14ac:dyDescent="0.35">
      <c r="A27" t="s">
        <v>18</v>
      </c>
      <c r="B27" s="32"/>
      <c r="C27" s="32"/>
      <c r="D27" s="32"/>
      <c r="E27" t="s">
        <v>41</v>
      </c>
      <c r="H27" t="str">
        <f>H26</f>
        <v>CR7 Actual</v>
      </c>
      <c r="I27">
        <v>8196</v>
      </c>
    </row>
    <row r="28" spans="1:9" x14ac:dyDescent="0.35">
      <c r="A28" t="s">
        <v>19</v>
      </c>
      <c r="B28" s="32"/>
      <c r="C28" s="32"/>
      <c r="D28" s="32"/>
      <c r="E28" t="s">
        <v>41</v>
      </c>
      <c r="H28" t="str">
        <f>H27</f>
        <v>CR7 Actual</v>
      </c>
      <c r="I28">
        <v>2572</v>
      </c>
    </row>
    <row r="29" spans="1:9" x14ac:dyDescent="0.35">
      <c r="A29" t="s">
        <v>20</v>
      </c>
      <c r="B29" s="32"/>
      <c r="C29" s="32"/>
      <c r="D29" s="32"/>
      <c r="E29" t="s">
        <v>41</v>
      </c>
      <c r="H29" t="str">
        <f>H28</f>
        <v>CR7 Actual</v>
      </c>
      <c r="I29">
        <v>619</v>
      </c>
    </row>
    <row r="30" spans="1:9" x14ac:dyDescent="0.35">
      <c r="A30" t="s">
        <v>21</v>
      </c>
      <c r="B30" s="32"/>
      <c r="C30" s="32"/>
      <c r="D30" s="32"/>
      <c r="E30" t="s">
        <v>44</v>
      </c>
      <c r="I30">
        <v>280</v>
      </c>
    </row>
    <row r="31" spans="1:9" x14ac:dyDescent="0.35">
      <c r="A31" t="s">
        <v>22</v>
      </c>
      <c r="B31" s="32"/>
      <c r="C31" s="32"/>
      <c r="D31" s="32"/>
      <c r="E31" t="s">
        <v>43</v>
      </c>
    </row>
    <row r="32" spans="1:9" x14ac:dyDescent="0.35">
      <c r="A32" t="s">
        <v>23</v>
      </c>
      <c r="B32" s="32"/>
      <c r="C32" s="32"/>
      <c r="D32" s="32"/>
      <c r="E32" t="s">
        <v>44</v>
      </c>
    </row>
    <row r="33" spans="1:9" x14ac:dyDescent="0.35">
      <c r="A33" t="s">
        <v>24</v>
      </c>
      <c r="B33" s="32"/>
      <c r="C33" s="32"/>
      <c r="D33" s="32"/>
      <c r="E33" t="s">
        <v>44</v>
      </c>
    </row>
    <row r="34" spans="1:9" x14ac:dyDescent="0.35">
      <c r="A34" t="s">
        <v>25</v>
      </c>
      <c r="B34" s="32"/>
      <c r="C34" s="32"/>
      <c r="D34" s="32"/>
      <c r="E34" t="s">
        <v>41</v>
      </c>
      <c r="H34" t="str">
        <f>H29</f>
        <v>CR7 Actual</v>
      </c>
      <c r="I34">
        <v>2856</v>
      </c>
    </row>
    <row r="35" spans="1:9" x14ac:dyDescent="0.35">
      <c r="A35" t="s">
        <v>26</v>
      </c>
      <c r="B35" s="32"/>
      <c r="C35" s="32"/>
      <c r="D35" s="32"/>
      <c r="E35" t="s">
        <v>44</v>
      </c>
    </row>
    <row r="36" spans="1:9" x14ac:dyDescent="0.35">
      <c r="A36" t="s">
        <v>27</v>
      </c>
      <c r="B36" s="32"/>
      <c r="C36" s="32"/>
      <c r="D36" s="32"/>
      <c r="E36" t="s">
        <v>46</v>
      </c>
    </row>
    <row r="37" spans="1:9" x14ac:dyDescent="0.35">
      <c r="A37" t="s">
        <v>28</v>
      </c>
      <c r="B37" s="32"/>
      <c r="C37" s="32"/>
      <c r="D37" s="32"/>
      <c r="E37" t="s">
        <v>45</v>
      </c>
    </row>
    <row r="38" spans="1:9" x14ac:dyDescent="0.35">
      <c r="A38" t="s">
        <v>29</v>
      </c>
      <c r="B38" s="32"/>
      <c r="C38" s="32"/>
      <c r="D38" s="32"/>
      <c r="E38" t="s">
        <v>45</v>
      </c>
    </row>
    <row r="39" spans="1:9" x14ac:dyDescent="0.35">
      <c r="A39" t="s">
        <v>30</v>
      </c>
      <c r="B39" s="31"/>
      <c r="C39" s="31"/>
      <c r="D39" s="31"/>
    </row>
    <row r="40" spans="1:9" x14ac:dyDescent="0.35">
      <c r="A40" t="s">
        <v>31</v>
      </c>
      <c r="B40" s="33"/>
      <c r="C40" s="33"/>
      <c r="D40" s="33"/>
    </row>
    <row r="41" spans="1:9" x14ac:dyDescent="0.35">
      <c r="A41" t="s">
        <v>32</v>
      </c>
      <c r="B41" s="33"/>
      <c r="C41" s="33"/>
      <c r="D41" s="33"/>
    </row>
    <row r="42" spans="1:9" x14ac:dyDescent="0.35">
      <c r="A42" t="s">
        <v>33</v>
      </c>
      <c r="B42" s="31"/>
      <c r="C42" s="31"/>
      <c r="D42" s="31"/>
    </row>
    <row r="43" spans="1:9" x14ac:dyDescent="0.35">
      <c r="A43" t="s">
        <v>35</v>
      </c>
      <c r="B43" s="34"/>
      <c r="C43" s="34"/>
      <c r="D43" s="34"/>
    </row>
    <row r="44" spans="1:9" x14ac:dyDescent="0.35">
      <c r="A44" t="s">
        <v>34</v>
      </c>
      <c r="B44" s="4">
        <v>617100</v>
      </c>
      <c r="C44" s="4">
        <v>168465</v>
      </c>
      <c r="D44" s="4">
        <v>259325</v>
      </c>
    </row>
    <row r="45" spans="1:9" x14ac:dyDescent="0.35">
      <c r="A45" t="s">
        <v>2</v>
      </c>
      <c r="B45" s="4">
        <f>B44/B8</f>
        <v>1086.1530013095089</v>
      </c>
      <c r="C45" s="4">
        <f>C44/C8</f>
        <v>788.45757825370686</v>
      </c>
      <c r="D45" s="4">
        <f>D44/D8</f>
        <v>606.85234761120262</v>
      </c>
    </row>
    <row r="47" spans="1:9" x14ac:dyDescent="0.35">
      <c r="B47" t="s">
        <v>58</v>
      </c>
      <c r="F47" t="s">
        <v>59</v>
      </c>
    </row>
    <row r="48" spans="1:9" x14ac:dyDescent="0.35">
      <c r="A48" s="22" t="s">
        <v>93</v>
      </c>
      <c r="B48" s="22" t="s">
        <v>91</v>
      </c>
      <c r="C48" s="22" t="s">
        <v>91</v>
      </c>
      <c r="D48" s="22" t="s">
        <v>92</v>
      </c>
      <c r="E48" s="22"/>
      <c r="F48" s="22" t="s">
        <v>91</v>
      </c>
      <c r="G48" s="22" t="s">
        <v>91</v>
      </c>
      <c r="H48" s="22" t="s">
        <v>92</v>
      </c>
    </row>
    <row r="49" spans="1:8" x14ac:dyDescent="0.35">
      <c r="A49" s="22">
        <v>2019</v>
      </c>
      <c r="B49" s="23">
        <v>893.55823706993579</v>
      </c>
      <c r="C49" s="23">
        <v>893.55823706993579</v>
      </c>
      <c r="D49" s="23">
        <v>896.29363222270104</v>
      </c>
      <c r="E49" s="24"/>
      <c r="F49" s="23">
        <f>B49*(1.02)^($A49-2017)</f>
        <v>929.65798984756123</v>
      </c>
      <c r="G49" s="23">
        <f t="shared" ref="G49:H49" si="0">C49*(1.02)^($A49-2017)</f>
        <v>929.65798984756123</v>
      </c>
      <c r="H49" s="23">
        <f t="shared" si="0"/>
        <v>932.50389496449816</v>
      </c>
    </row>
    <row r="50" spans="1:8" x14ac:dyDescent="0.35">
      <c r="A50" s="22">
        <v>2020</v>
      </c>
      <c r="B50" s="23">
        <v>887.11859309515887</v>
      </c>
      <c r="C50" s="23">
        <v>887.11859309515887</v>
      </c>
      <c r="D50" s="23">
        <v>902.71381430547433</v>
      </c>
      <c r="E50" s="24"/>
      <c r="F50" s="23">
        <f t="shared" ref="F50:F80" si="1">B50*(1.02)^($A50-2017)</f>
        <v>941.41734794132731</v>
      </c>
      <c r="G50" s="23">
        <f t="shared" ref="G50:G80" si="2">C50*(1.02)^($A50-2017)</f>
        <v>941.41734794132731</v>
      </c>
      <c r="H50" s="23">
        <f t="shared" ref="H50:H80" si="3">D50*(1.02)^($A50-2017)</f>
        <v>957.96712145148376</v>
      </c>
    </row>
    <row r="51" spans="1:8" x14ac:dyDescent="0.35">
      <c r="A51" s="22">
        <v>2021</v>
      </c>
      <c r="B51" s="23">
        <v>880.67894912038184</v>
      </c>
      <c r="C51" s="23">
        <v>880.67894912038184</v>
      </c>
      <c r="D51" s="23">
        <v>891.86171381434542</v>
      </c>
      <c r="E51" s="24"/>
      <c r="F51" s="23">
        <f t="shared" si="1"/>
        <v>953.27521716290505</v>
      </c>
      <c r="G51" s="23">
        <f t="shared" si="2"/>
        <v>953.27521716290505</v>
      </c>
      <c r="H51" s="23">
        <f t="shared" si="3"/>
        <v>965.37980130536369</v>
      </c>
    </row>
    <row r="52" spans="1:8" x14ac:dyDescent="0.35">
      <c r="A52" s="22">
        <v>2022</v>
      </c>
      <c r="B52" s="23">
        <v>874.23930514560493</v>
      </c>
      <c r="C52" s="23">
        <v>874.23930514560493</v>
      </c>
      <c r="D52" s="23">
        <v>885.20876908967045</v>
      </c>
      <c r="E52" s="24"/>
      <c r="F52" s="23">
        <f t="shared" si="1"/>
        <v>965.23083421416936</v>
      </c>
      <c r="G52" s="23">
        <f t="shared" si="2"/>
        <v>965.23083421416936</v>
      </c>
      <c r="H52" s="23">
        <f t="shared" si="3"/>
        <v>977.34200877620674</v>
      </c>
    </row>
    <row r="53" spans="1:8" x14ac:dyDescent="0.35">
      <c r="A53" s="22">
        <v>2023</v>
      </c>
      <c r="B53" s="23">
        <v>860.99336799720379</v>
      </c>
      <c r="C53" s="23">
        <v>860.99336799720379</v>
      </c>
      <c r="D53" s="23">
        <v>867.76048992789288</v>
      </c>
      <c r="E53" s="24"/>
      <c r="F53" s="23">
        <f t="shared" si="1"/>
        <v>969.61837427399053</v>
      </c>
      <c r="G53" s="23">
        <f t="shared" si="2"/>
        <v>969.61837427399053</v>
      </c>
      <c r="H53" s="23">
        <f t="shared" si="3"/>
        <v>977.23925267890979</v>
      </c>
    </row>
    <row r="54" spans="1:8" x14ac:dyDescent="0.35">
      <c r="A54" s="22">
        <v>2024</v>
      </c>
      <c r="B54" s="23">
        <v>854.32854041412975</v>
      </c>
      <c r="C54" s="23">
        <v>854.32854041412975</v>
      </c>
      <c r="D54" s="23">
        <v>859.68860861787778</v>
      </c>
      <c r="E54" s="24"/>
      <c r="F54" s="23">
        <f t="shared" si="1"/>
        <v>981.35494983743934</v>
      </c>
      <c r="G54" s="23">
        <f t="shared" si="2"/>
        <v>981.35494983743934</v>
      </c>
      <c r="H54" s="23">
        <f t="shared" si="3"/>
        <v>987.51198336070729</v>
      </c>
    </row>
    <row r="55" spans="1:8" x14ac:dyDescent="0.35">
      <c r="A55" s="22">
        <v>2025</v>
      </c>
      <c r="B55" s="23">
        <v>851.00108847467982</v>
      </c>
      <c r="C55" s="23">
        <v>851.00108847467982</v>
      </c>
      <c r="D55" s="23">
        <v>854.89355451672066</v>
      </c>
      <c r="E55" s="24"/>
      <c r="F55" s="23">
        <f t="shared" si="1"/>
        <v>997.08340855449751</v>
      </c>
      <c r="G55" s="23">
        <f t="shared" si="2"/>
        <v>997.08340855449751</v>
      </c>
      <c r="H55" s="23">
        <f t="shared" si="3"/>
        <v>1001.6440529078875</v>
      </c>
    </row>
    <row r="56" spans="1:8" x14ac:dyDescent="0.35">
      <c r="A56" s="22">
        <v>2026</v>
      </c>
      <c r="B56" s="23">
        <v>847.60525252981984</v>
      </c>
      <c r="C56" s="23">
        <v>847.60525252981984</v>
      </c>
      <c r="D56" s="23">
        <v>850.14768910328723</v>
      </c>
      <c r="E56" s="24"/>
      <c r="F56" s="23">
        <f t="shared" si="1"/>
        <v>1012.9667384236249</v>
      </c>
      <c r="G56" s="23">
        <f t="shared" si="2"/>
        <v>1012.9667384236249</v>
      </c>
      <c r="H56" s="23">
        <f t="shared" si="3"/>
        <v>1016.0051854787692</v>
      </c>
    </row>
    <row r="57" spans="1:8" x14ac:dyDescent="0.35">
      <c r="A57" s="22">
        <v>2027</v>
      </c>
      <c r="B57" s="23">
        <v>844.02613311296204</v>
      </c>
      <c r="C57" s="23">
        <v>844.02613311296204</v>
      </c>
      <c r="D57" s="23">
        <v>845.33323168783102</v>
      </c>
      <c r="E57" s="24"/>
      <c r="F57" s="23">
        <f t="shared" si="1"/>
        <v>1028.8631465944529</v>
      </c>
      <c r="G57" s="23">
        <f t="shared" si="2"/>
        <v>1028.8631465944529</v>
      </c>
      <c r="H57" s="23">
        <f t="shared" si="3"/>
        <v>1030.4564924636013</v>
      </c>
    </row>
    <row r="58" spans="1:8" x14ac:dyDescent="0.35">
      <c r="A58" s="22">
        <v>2028</v>
      </c>
      <c r="B58" s="23">
        <v>840.96381691481633</v>
      </c>
      <c r="C58" s="23">
        <v>840.96381691481633</v>
      </c>
      <c r="D58" s="23">
        <v>841.66250107608801</v>
      </c>
      <c r="E58" s="24"/>
      <c r="F58" s="23">
        <f t="shared" si="1"/>
        <v>1045.6328042413866</v>
      </c>
      <c r="G58" s="23">
        <f t="shared" si="2"/>
        <v>1045.6328042413866</v>
      </c>
      <c r="H58" s="23">
        <f t="shared" si="3"/>
        <v>1046.5015301771939</v>
      </c>
    </row>
    <row r="59" spans="1:8" x14ac:dyDescent="0.35">
      <c r="A59" s="22">
        <v>2029</v>
      </c>
      <c r="B59" s="23">
        <v>836.18321619224696</v>
      </c>
      <c r="C59" s="23">
        <v>836.18321619224696</v>
      </c>
      <c r="D59" s="23">
        <v>836.28274791352487</v>
      </c>
      <c r="E59" s="23"/>
      <c r="F59" s="23">
        <f t="shared" si="1"/>
        <v>1060.4825026867361</v>
      </c>
      <c r="G59" s="23">
        <f t="shared" si="2"/>
        <v>1060.4825026867361</v>
      </c>
      <c r="H59" s="23">
        <f t="shared" si="3"/>
        <v>1060.6087329755455</v>
      </c>
    </row>
    <row r="60" spans="1:8" x14ac:dyDescent="0.35">
      <c r="A60" s="22">
        <v>2030</v>
      </c>
      <c r="B60" s="23">
        <v>833.47037802782177</v>
      </c>
      <c r="C60" s="23">
        <v>833.47037802782177</v>
      </c>
      <c r="D60" s="23">
        <v>833.2916691733227</v>
      </c>
      <c r="E60" s="23"/>
      <c r="F60" s="23">
        <f t="shared" si="1"/>
        <v>1078.1828073036222</v>
      </c>
      <c r="G60" s="23">
        <f t="shared" si="2"/>
        <v>1078.1828073036222</v>
      </c>
      <c r="H60" s="23">
        <f t="shared" si="3"/>
        <v>1077.9516283445214</v>
      </c>
    </row>
    <row r="61" spans="1:8" x14ac:dyDescent="0.35">
      <c r="A61" s="22">
        <v>2031</v>
      </c>
      <c r="B61" s="23">
        <v>830.95397758344177</v>
      </c>
      <c r="C61" s="23">
        <v>830.95397758344177</v>
      </c>
      <c r="D61" s="23">
        <v>830.5754936489833</v>
      </c>
      <c r="E61" s="23"/>
      <c r="F61" s="23">
        <f t="shared" si="1"/>
        <v>1096.4261265039734</v>
      </c>
      <c r="G61" s="23">
        <f t="shared" si="2"/>
        <v>1096.4261265039734</v>
      </c>
      <c r="H61" s="23">
        <f t="shared" si="3"/>
        <v>1095.9267249902948</v>
      </c>
    </row>
    <row r="62" spans="1:8" x14ac:dyDescent="0.35">
      <c r="A62" s="22">
        <v>2032</v>
      </c>
      <c r="B62" s="23">
        <v>827.5465800056603</v>
      </c>
      <c r="C62" s="23">
        <v>827.5465800056603</v>
      </c>
      <c r="D62" s="23">
        <v>826.7715351573911</v>
      </c>
      <c r="E62" s="23"/>
      <c r="F62" s="23">
        <f t="shared" si="1"/>
        <v>1113.7687405180341</v>
      </c>
      <c r="G62" s="23">
        <f t="shared" si="2"/>
        <v>1113.7687405180341</v>
      </c>
      <c r="H62" s="23">
        <f t="shared" si="3"/>
        <v>1112.7256321959674</v>
      </c>
    </row>
    <row r="63" spans="1:8" x14ac:dyDescent="0.35">
      <c r="A63" s="22">
        <v>2033</v>
      </c>
      <c r="B63" s="23">
        <v>824.86769757513628</v>
      </c>
      <c r="C63" s="23">
        <v>824.86769757513628</v>
      </c>
      <c r="D63" s="23">
        <v>823.86823037306385</v>
      </c>
      <c r="E63" s="23"/>
      <c r="F63" s="23">
        <f t="shared" si="1"/>
        <v>1132.3665838221532</v>
      </c>
      <c r="G63" s="23">
        <f t="shared" si="2"/>
        <v>1132.3665838221532</v>
      </c>
      <c r="H63" s="23">
        <f t="shared" si="3"/>
        <v>1130.9945295344412</v>
      </c>
    </row>
    <row r="64" spans="1:8" x14ac:dyDescent="0.35">
      <c r="A64" s="22">
        <v>2034</v>
      </c>
      <c r="B64" s="23">
        <v>822.55802561149642</v>
      </c>
      <c r="C64" s="23">
        <v>822.55802561149642</v>
      </c>
      <c r="D64" s="23">
        <v>821.20674097070651</v>
      </c>
      <c r="E64" s="23"/>
      <c r="F64" s="23">
        <f t="shared" si="1"/>
        <v>1151.7798171503603</v>
      </c>
      <c r="G64" s="23">
        <f t="shared" si="2"/>
        <v>1151.7798171503603</v>
      </c>
      <c r="H64" s="23">
        <f t="shared" si="3"/>
        <v>1149.8876924272076</v>
      </c>
    </row>
    <row r="65" spans="1:8" x14ac:dyDescent="0.35">
      <c r="A65" s="22">
        <v>2035</v>
      </c>
      <c r="B65" s="23">
        <v>819.5665929739622</v>
      </c>
      <c r="C65" s="23">
        <v>819.5665929739622</v>
      </c>
      <c r="D65" s="23">
        <v>818.02472783813232</v>
      </c>
      <c r="E65" s="23"/>
      <c r="F65" s="23">
        <f t="shared" si="1"/>
        <v>1170.5429110539319</v>
      </c>
      <c r="G65" s="23">
        <f t="shared" si="2"/>
        <v>1170.5429110539319</v>
      </c>
      <c r="H65" s="23">
        <f t="shared" si="3"/>
        <v>1168.3407479594143</v>
      </c>
    </row>
    <row r="66" spans="1:8" x14ac:dyDescent="0.35">
      <c r="A66" s="22">
        <v>2036</v>
      </c>
      <c r="B66" s="23">
        <v>816.71372174727787</v>
      </c>
      <c r="C66" s="23">
        <v>816.71372174727787</v>
      </c>
      <c r="D66" s="23">
        <v>814.88508478318965</v>
      </c>
      <c r="E66" s="23"/>
      <c r="F66" s="23">
        <f t="shared" si="1"/>
        <v>1189.7976745981937</v>
      </c>
      <c r="G66" s="23">
        <f t="shared" si="2"/>
        <v>1189.7976745981937</v>
      </c>
      <c r="H66" s="23">
        <f t="shared" si="3"/>
        <v>1187.1336958384127</v>
      </c>
    </row>
    <row r="67" spans="1:8" x14ac:dyDescent="0.35">
      <c r="A67" s="22">
        <v>2037</v>
      </c>
      <c r="B67" s="23">
        <v>814.10774143657648</v>
      </c>
      <c r="C67" s="23">
        <v>814.10774143657648</v>
      </c>
      <c r="D67" s="23">
        <v>812.19304936041544</v>
      </c>
      <c r="E67" s="23"/>
      <c r="F67" s="23">
        <f t="shared" si="1"/>
        <v>1209.7212784335002</v>
      </c>
      <c r="G67" s="23">
        <f t="shared" si="2"/>
        <v>1209.7212784335002</v>
      </c>
      <c r="H67" s="23">
        <f t="shared" si="3"/>
        <v>1206.8761467288282</v>
      </c>
    </row>
    <row r="68" spans="1:8" x14ac:dyDescent="0.35">
      <c r="A68" s="22">
        <v>2038</v>
      </c>
      <c r="B68" s="23">
        <v>812.37134151922521</v>
      </c>
      <c r="C68" s="23">
        <v>812.37134151922521</v>
      </c>
      <c r="D68" s="23">
        <v>810.56013478572174</v>
      </c>
      <c r="E68" s="23"/>
      <c r="F68" s="23">
        <f t="shared" si="1"/>
        <v>1231.2839010878936</v>
      </c>
      <c r="G68" s="23">
        <f t="shared" si="2"/>
        <v>1231.2839010878936</v>
      </c>
      <c r="H68" s="23">
        <f t="shared" si="3"/>
        <v>1228.5387160000812</v>
      </c>
    </row>
    <row r="69" spans="1:8" x14ac:dyDescent="0.35">
      <c r="A69" s="22">
        <v>2039</v>
      </c>
      <c r="B69" s="23">
        <v>810.20193810709952</v>
      </c>
      <c r="C69" s="23">
        <v>810.20193810709952</v>
      </c>
      <c r="D69" s="23">
        <v>808.49515037607659</v>
      </c>
      <c r="E69" s="23"/>
      <c r="F69" s="23">
        <f t="shared" si="1"/>
        <v>1252.5557255367935</v>
      </c>
      <c r="G69" s="23">
        <f t="shared" si="2"/>
        <v>1252.5557255367935</v>
      </c>
      <c r="H69" s="23">
        <f t="shared" si="3"/>
        <v>1249.9170664023022</v>
      </c>
    </row>
    <row r="70" spans="1:8" x14ac:dyDescent="0.35">
      <c r="A70" s="22">
        <v>2040</v>
      </c>
      <c r="B70" s="23">
        <v>808.13438960250664</v>
      </c>
      <c r="C70" s="23">
        <v>808.13438960250664</v>
      </c>
      <c r="D70" s="23">
        <v>806.53181718615019</v>
      </c>
      <c r="E70" s="23"/>
      <c r="F70" s="23">
        <f t="shared" si="1"/>
        <v>1274.3465243319565</v>
      </c>
      <c r="G70" s="23">
        <f t="shared" si="2"/>
        <v>1274.3465243319565</v>
      </c>
      <c r="H70" s="23">
        <f t="shared" si="3"/>
        <v>1271.8194290677907</v>
      </c>
    </row>
    <row r="71" spans="1:8" x14ac:dyDescent="0.35">
      <c r="A71" s="22">
        <v>2041</v>
      </c>
      <c r="B71" s="23">
        <v>806.89975506248322</v>
      </c>
      <c r="C71" s="23">
        <v>806.89975506248322</v>
      </c>
      <c r="D71" s="23">
        <v>805.39975864873225</v>
      </c>
      <c r="E71" s="23"/>
      <c r="F71" s="23">
        <f t="shared" si="1"/>
        <v>1297.8476226349333</v>
      </c>
      <c r="G71" s="23">
        <f t="shared" si="2"/>
        <v>1297.8476226349333</v>
      </c>
      <c r="H71" s="23">
        <f t="shared" si="3"/>
        <v>1295.4349725289769</v>
      </c>
    </row>
    <row r="72" spans="1:8" x14ac:dyDescent="0.35">
      <c r="A72" s="22">
        <v>2042</v>
      </c>
      <c r="B72" s="23">
        <v>803.84551348762341</v>
      </c>
      <c r="C72" s="23">
        <v>803.84551348762341</v>
      </c>
      <c r="D72" s="23">
        <v>802.45149608302609</v>
      </c>
      <c r="E72" s="23"/>
      <c r="F72" s="23">
        <f t="shared" si="1"/>
        <v>1318.7937680513735</v>
      </c>
      <c r="G72" s="23">
        <f t="shared" si="2"/>
        <v>1318.7937680513735</v>
      </c>
      <c r="H72" s="23">
        <f t="shared" si="3"/>
        <v>1316.5067347410031</v>
      </c>
    </row>
    <row r="73" spans="1:8" x14ac:dyDescent="0.35">
      <c r="A73" s="22">
        <v>2043</v>
      </c>
      <c r="B73" s="23">
        <v>803.0307430030623</v>
      </c>
      <c r="C73" s="23">
        <v>803.0307430030623</v>
      </c>
      <c r="D73" s="23">
        <v>801.73878522314658</v>
      </c>
      <c r="E73" s="23"/>
      <c r="F73" s="23">
        <f t="shared" si="1"/>
        <v>1343.8061917244956</v>
      </c>
      <c r="G73" s="23">
        <f t="shared" si="2"/>
        <v>1343.8061917244956</v>
      </c>
      <c r="H73" s="23">
        <f t="shared" si="3"/>
        <v>1341.6442061726041</v>
      </c>
    </row>
    <row r="74" spans="1:8" x14ac:dyDescent="0.35">
      <c r="A74" s="22">
        <v>2044</v>
      </c>
      <c r="B74" s="23">
        <v>800.14869900307053</v>
      </c>
      <c r="C74" s="23">
        <v>800.14869900307053</v>
      </c>
      <c r="D74" s="23">
        <v>798.96213261495245</v>
      </c>
      <c r="E74" s="23"/>
      <c r="F74" s="23">
        <f t="shared" si="1"/>
        <v>1365.7629936303147</v>
      </c>
      <c r="G74" s="23">
        <f t="shared" si="2"/>
        <v>1365.7629936303147</v>
      </c>
      <c r="H74" s="23">
        <f t="shared" si="3"/>
        <v>1363.737659508799</v>
      </c>
    </row>
    <row r="75" spans="1:8" x14ac:dyDescent="0.35">
      <c r="A75" s="22">
        <v>2045</v>
      </c>
      <c r="B75" s="23">
        <v>799.15723982955649</v>
      </c>
      <c r="C75" s="23">
        <v>799.15723982955649</v>
      </c>
      <c r="D75" s="23">
        <v>798.07320846175037</v>
      </c>
      <c r="E75" s="23"/>
      <c r="F75" s="23">
        <f t="shared" si="1"/>
        <v>1391.3520990824002</v>
      </c>
      <c r="G75" s="23">
        <f t="shared" si="2"/>
        <v>1391.3520990824002</v>
      </c>
      <c r="H75" s="23">
        <f t="shared" si="3"/>
        <v>1389.464774230798</v>
      </c>
    </row>
    <row r="76" spans="1:8" x14ac:dyDescent="0.35">
      <c r="A76" s="22">
        <v>2046</v>
      </c>
      <c r="B76" s="23">
        <v>796.58781975182876</v>
      </c>
      <c r="C76" s="23">
        <v>796.58781975182876</v>
      </c>
      <c r="D76" s="23">
        <v>795.60857249514595</v>
      </c>
      <c r="E76" s="23"/>
      <c r="F76" s="23">
        <f t="shared" si="1"/>
        <v>1414.6162500618716</v>
      </c>
      <c r="G76" s="23">
        <f t="shared" si="2"/>
        <v>1414.6162500618716</v>
      </c>
      <c r="H76" s="23">
        <f t="shared" si="3"/>
        <v>1412.8772590206031</v>
      </c>
    </row>
    <row r="77" spans="1:8" x14ac:dyDescent="0.35">
      <c r="A77" s="22">
        <v>2047</v>
      </c>
      <c r="B77" s="23">
        <v>794.76048032511164</v>
      </c>
      <c r="C77" s="23">
        <v>794.76048032511164</v>
      </c>
      <c r="D77" s="23">
        <v>793.88501128096959</v>
      </c>
      <c r="E77" s="23"/>
      <c r="F77" s="23">
        <f t="shared" si="1"/>
        <v>1439.5986026244364</v>
      </c>
      <c r="G77" s="23">
        <f t="shared" si="2"/>
        <v>1439.5986026244364</v>
      </c>
      <c r="H77" s="23">
        <f t="shared" si="3"/>
        <v>1438.0128116298058</v>
      </c>
    </row>
    <row r="78" spans="1:8" x14ac:dyDescent="0.35">
      <c r="A78" s="22">
        <v>2048</v>
      </c>
      <c r="B78" s="23">
        <v>792.92033252427757</v>
      </c>
      <c r="C78" s="23">
        <v>792.92033252427757</v>
      </c>
      <c r="D78" s="23">
        <v>792.14873185042018</v>
      </c>
      <c r="E78" s="23"/>
      <c r="F78" s="23">
        <f t="shared" si="1"/>
        <v>1464.9907381807116</v>
      </c>
      <c r="G78" s="23">
        <f t="shared" si="2"/>
        <v>1464.9907381807116</v>
      </c>
      <c r="H78" s="23">
        <f t="shared" si="3"/>
        <v>1463.5651374054401</v>
      </c>
    </row>
    <row r="79" spans="1:8" x14ac:dyDescent="0.35">
      <c r="A79" s="22">
        <v>2049</v>
      </c>
      <c r="B79" s="23">
        <v>791.00954777913921</v>
      </c>
      <c r="C79" s="23">
        <v>791.00954777913921</v>
      </c>
      <c r="D79" s="23">
        <v>790.34175467816408</v>
      </c>
      <c r="E79" s="23"/>
      <c r="F79" s="23">
        <f t="shared" si="1"/>
        <v>1490.6896015293453</v>
      </c>
      <c r="G79" s="23">
        <f t="shared" si="2"/>
        <v>1490.6896015293453</v>
      </c>
      <c r="H79" s="23">
        <f t="shared" si="3"/>
        <v>1489.4311183234324</v>
      </c>
    </row>
    <row r="80" spans="1:8" x14ac:dyDescent="0.35">
      <c r="A80" s="22">
        <v>2050</v>
      </c>
      <c r="B80" s="23">
        <v>783.01670075636775</v>
      </c>
      <c r="C80" s="23">
        <v>783.01670075636775</v>
      </c>
      <c r="D80" s="23">
        <v>782.45718072947386</v>
      </c>
      <c r="E80" s="23"/>
      <c r="F80" s="23">
        <f t="shared" si="1"/>
        <v>1505.1392920058474</v>
      </c>
      <c r="G80" s="23">
        <f t="shared" si="2"/>
        <v>1505.1392920058474</v>
      </c>
      <c r="H80" s="23">
        <f t="shared" si="3"/>
        <v>1504.063765039017</v>
      </c>
    </row>
    <row r="82" spans="1:8" x14ac:dyDescent="0.35">
      <c r="A82" t="s">
        <v>50</v>
      </c>
      <c r="F82" s="21">
        <f t="shared" ref="F82:G82" si="4">(F56/F49)^(1/($A56-$A49))-1</f>
        <v>1.2335737130160895E-2</v>
      </c>
      <c r="G82" s="21">
        <f t="shared" si="4"/>
        <v>1.2335737130160895E-2</v>
      </c>
      <c r="H82" s="21">
        <f>(H56/H49)^(1/($A56-$A49))-1</f>
        <v>1.232684310576726E-2</v>
      </c>
    </row>
    <row r="83" spans="1:8" x14ac:dyDescent="0.35">
      <c r="A83" t="s">
        <v>51</v>
      </c>
      <c r="F83" s="21">
        <f>(F80/F56)^(1/($A80-$A56))-1</f>
        <v>1.6636963909440805E-2</v>
      </c>
      <c r="G83" s="21">
        <f t="shared" ref="G83:H83" si="5">(G80/G56)^(1/($A80-$A56))-1</f>
        <v>1.6636963909440805E-2</v>
      </c>
      <c r="H83" s="21">
        <f t="shared" si="5"/>
        <v>1.6479825663925585E-2</v>
      </c>
    </row>
    <row r="84" spans="1:8" x14ac:dyDescent="0.35">
      <c r="C84" s="7"/>
      <c r="D84" s="7"/>
    </row>
    <row r="85" spans="1:8" x14ac:dyDescent="0.35">
      <c r="C85" s="7"/>
      <c r="D85" s="7"/>
      <c r="F85" t="s">
        <v>53</v>
      </c>
      <c r="G85" t="s">
        <v>54</v>
      </c>
      <c r="H85" t="s">
        <v>55</v>
      </c>
    </row>
    <row r="86" spans="1:8" x14ac:dyDescent="0.35">
      <c r="A86" t="s">
        <v>49</v>
      </c>
      <c r="C86" s="7"/>
      <c r="D86" s="7"/>
      <c r="F86" s="2">
        <f t="shared" ref="F86:G86" si="6">B45/B50*B49*(1+F82)^(2026-2019)</f>
        <v>1192.0766096810623</v>
      </c>
      <c r="G86" s="2">
        <f t="shared" si="6"/>
        <v>865.34938966134325</v>
      </c>
      <c r="H86" s="2">
        <f>D45/D50*D49*(1+H82)^(2026-2019)</f>
        <v>656.49062535666144</v>
      </c>
    </row>
    <row r="87" spans="1:8" x14ac:dyDescent="0.35">
      <c r="A87" t="s">
        <v>52</v>
      </c>
      <c r="B87" s="7"/>
      <c r="C87" s="7"/>
      <c r="D87" s="7"/>
      <c r="F87" s="2">
        <f t="shared" ref="F87:G87" si="7">F86*(1+F83)^(2019-2026)</f>
        <v>1062.0449381440801</v>
      </c>
      <c r="G87" s="2">
        <f t="shared" si="7"/>
        <v>770.95711093751436</v>
      </c>
      <c r="H87" s="2">
        <f>H86*(1+H83)^(2019-2026)</f>
        <v>585.5138657918576</v>
      </c>
    </row>
    <row r="89" spans="1:8" x14ac:dyDescent="0.35">
      <c r="B89" s="7"/>
      <c r="C89" s="7"/>
    </row>
  </sheetData>
  <mergeCells count="1">
    <mergeCell ref="E3:H3"/>
  </mergeCells>
  <pageMargins left="1" right="1" top="1.5" bottom="1" header="0.5" footer="0.5"/>
  <pageSetup scale="61" fitToHeight="0" orientation="portrait" r:id="rId1"/>
  <headerFooter scaleWithDoc="0">
    <oddHeader xml:space="preserve">&amp;L&amp;"Times New Roman,Bold"&amp;12CONFIDENTIAL INFORMATION REDACTED&amp;R&amp;"Times New Roman,Bold"&amp;12 Case No. 2021-00393
Attachment to Response to JI-2 Question No. 17
Page &amp;P of &amp;N
Wilson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DE2A-ABB3-45C1-B191-C4E10AAE07B8}">
  <dimension ref="A1:D5"/>
  <sheetViews>
    <sheetView zoomScaleNormal="100" workbookViewId="0"/>
  </sheetViews>
  <sheetFormatPr defaultRowHeight="14.5" x14ac:dyDescent="0.35"/>
  <cols>
    <col min="2" max="2" width="38.1796875" bestFit="1" customWidth="1"/>
    <col min="3" max="4" width="6.54296875" customWidth="1"/>
  </cols>
  <sheetData>
    <row r="1" spans="1:4" x14ac:dyDescent="0.35">
      <c r="A1" s="35"/>
    </row>
    <row r="2" spans="1:4" x14ac:dyDescent="0.35">
      <c r="B2" s="27" t="s">
        <v>60</v>
      </c>
    </row>
    <row r="3" spans="1:4" x14ac:dyDescent="0.35">
      <c r="C3" s="28" t="s">
        <v>91</v>
      </c>
      <c r="D3" s="28" t="s">
        <v>92</v>
      </c>
    </row>
    <row r="4" spans="1:4" x14ac:dyDescent="0.35">
      <c r="B4" s="27" t="s">
        <v>61</v>
      </c>
      <c r="C4" s="29">
        <v>10.56</v>
      </c>
      <c r="D4" s="29">
        <v>12.23</v>
      </c>
    </row>
    <row r="5" spans="1:4" x14ac:dyDescent="0.35">
      <c r="B5" s="27" t="s">
        <v>90</v>
      </c>
      <c r="C5" s="29">
        <f>C4*1.02^2</f>
        <v>10.986624000000001</v>
      </c>
      <c r="D5" s="29">
        <f>D4*1.02^2</f>
        <v>12.724092000000001</v>
      </c>
    </row>
  </sheetData>
  <pageMargins left="1" right="1" top="1.5" bottom="1" header="0.5" footer="0.5"/>
  <pageSetup orientation="portrait" r:id="rId1"/>
  <headerFooter scaleWithDoc="0">
    <oddHeader xml:space="preserve">&amp;R&amp;"Times New Roman,Bold"&amp;12 Case No. 2021-00393
Attachment to Response to JI-2 Question No. 17
Page &amp;P of &amp;N
Wilson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B0F7-69A1-43AF-A6E3-8E4CEEE5556A}">
  <sheetPr>
    <pageSetUpPr fitToPage="1"/>
  </sheetPr>
  <dimension ref="A1:J50"/>
  <sheetViews>
    <sheetView zoomScaleNormal="100" workbookViewId="0">
      <selection activeCell="D3" sqref="D3"/>
    </sheetView>
  </sheetViews>
  <sheetFormatPr defaultRowHeight="14.5" x14ac:dyDescent="0.35"/>
  <cols>
    <col min="2" max="2" width="31.90625" bestFit="1" customWidth="1"/>
    <col min="3" max="3" width="16.90625" bestFit="1" customWidth="1"/>
    <col min="4" max="4" width="23.26953125" bestFit="1" customWidth="1"/>
    <col min="9" max="9" width="10.36328125" bestFit="1" customWidth="1"/>
  </cols>
  <sheetData>
    <row r="1" spans="1:10" x14ac:dyDescent="0.35">
      <c r="A1" s="35"/>
    </row>
    <row r="2" spans="1:10" x14ac:dyDescent="0.35">
      <c r="B2" s="20" t="s">
        <v>62</v>
      </c>
      <c r="C2" s="11">
        <v>2019</v>
      </c>
      <c r="D2" s="12" t="s">
        <v>63</v>
      </c>
      <c r="E2" s="12" t="s">
        <v>64</v>
      </c>
      <c r="F2" s="12" t="s">
        <v>65</v>
      </c>
      <c r="G2" s="12" t="s">
        <v>66</v>
      </c>
      <c r="H2" s="12" t="s">
        <v>67</v>
      </c>
      <c r="I2" s="12" t="s">
        <v>68</v>
      </c>
      <c r="J2" s="12" t="s">
        <v>69</v>
      </c>
    </row>
    <row r="3" spans="1:10" x14ac:dyDescent="0.35">
      <c r="B3" s="20" t="s">
        <v>70</v>
      </c>
      <c r="C3" s="14" t="s">
        <v>85</v>
      </c>
      <c r="D3" s="8">
        <v>110000</v>
      </c>
      <c r="E3" s="8">
        <v>110000</v>
      </c>
      <c r="F3" s="8">
        <v>110000</v>
      </c>
      <c r="G3" s="8">
        <v>110000</v>
      </c>
      <c r="H3" s="8">
        <v>110000</v>
      </c>
      <c r="I3" s="8">
        <v>110000</v>
      </c>
      <c r="J3" s="8">
        <v>110000</v>
      </c>
    </row>
    <row r="4" spans="1:10" x14ac:dyDescent="0.35">
      <c r="B4" s="12"/>
      <c r="C4" s="14" t="s">
        <v>71</v>
      </c>
      <c r="D4" s="15">
        <v>0.35499999999999998</v>
      </c>
      <c r="E4" s="15">
        <v>0.35499999999999998</v>
      </c>
      <c r="F4" s="15">
        <v>0.35499999999999998</v>
      </c>
      <c r="G4" s="15">
        <v>0.35499999999999998</v>
      </c>
      <c r="H4" s="15">
        <v>0.35499999999999998</v>
      </c>
      <c r="I4" s="15">
        <v>0.35499999999999998</v>
      </c>
      <c r="J4" s="15">
        <v>0.35499999999999998</v>
      </c>
    </row>
    <row r="5" spans="1:10" x14ac:dyDescent="0.35">
      <c r="B5" s="12"/>
      <c r="C5" s="14" t="s">
        <v>72</v>
      </c>
      <c r="D5" s="9">
        <f t="shared" ref="D5:J5" si="0">D3*D4</f>
        <v>39050</v>
      </c>
      <c r="E5" s="9">
        <f t="shared" si="0"/>
        <v>39050</v>
      </c>
      <c r="F5" s="9">
        <f t="shared" si="0"/>
        <v>39050</v>
      </c>
      <c r="G5" s="9">
        <f t="shared" si="0"/>
        <v>39050</v>
      </c>
      <c r="H5" s="9">
        <f t="shared" si="0"/>
        <v>39050</v>
      </c>
      <c r="I5" s="9">
        <f t="shared" si="0"/>
        <v>39050</v>
      </c>
      <c r="J5" s="9">
        <f t="shared" si="0"/>
        <v>39050</v>
      </c>
    </row>
    <row r="6" spans="1:10" x14ac:dyDescent="0.35">
      <c r="B6" s="12"/>
      <c r="C6" s="14" t="s">
        <v>73</v>
      </c>
      <c r="D6" s="8">
        <v>30</v>
      </c>
      <c r="E6" s="8">
        <v>31</v>
      </c>
      <c r="F6" s="8">
        <v>30</v>
      </c>
      <c r="G6" s="8">
        <v>31</v>
      </c>
      <c r="H6" s="8">
        <v>31</v>
      </c>
      <c r="I6" s="8">
        <v>30</v>
      </c>
      <c r="J6" s="8">
        <v>31</v>
      </c>
    </row>
    <row r="7" spans="1:10" x14ac:dyDescent="0.35">
      <c r="B7" s="12"/>
      <c r="C7" s="14" t="s">
        <v>74</v>
      </c>
      <c r="D7" s="9">
        <f t="shared" ref="D7:J7" si="1">D5*D6</f>
        <v>1171500</v>
      </c>
      <c r="E7" s="9">
        <f t="shared" si="1"/>
        <v>1210550</v>
      </c>
      <c r="F7" s="9">
        <f t="shared" si="1"/>
        <v>1171500</v>
      </c>
      <c r="G7" s="9">
        <f t="shared" si="1"/>
        <v>1210550</v>
      </c>
      <c r="H7" s="9">
        <f t="shared" si="1"/>
        <v>1210550</v>
      </c>
      <c r="I7" s="9">
        <f t="shared" si="1"/>
        <v>1171500</v>
      </c>
      <c r="J7" s="9">
        <f t="shared" si="1"/>
        <v>1210550</v>
      </c>
    </row>
    <row r="8" spans="1:10" x14ac:dyDescent="0.35">
      <c r="B8" s="12"/>
      <c r="C8" s="12"/>
      <c r="D8" s="10"/>
      <c r="E8" s="10"/>
      <c r="F8" s="10"/>
      <c r="G8" s="10"/>
      <c r="H8" s="10"/>
      <c r="I8" s="10"/>
      <c r="J8" s="10"/>
    </row>
    <row r="9" spans="1:10" x14ac:dyDescent="0.35">
      <c r="B9" s="12"/>
      <c r="C9" s="11">
        <v>2019</v>
      </c>
      <c r="D9" s="12" t="s">
        <v>63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</row>
    <row r="10" spans="1:10" x14ac:dyDescent="0.35">
      <c r="B10" s="12"/>
      <c r="C10" s="14" t="s">
        <v>86</v>
      </c>
      <c r="D10" s="8">
        <v>50000</v>
      </c>
      <c r="E10" s="8">
        <v>50000</v>
      </c>
      <c r="F10" s="8">
        <v>50000</v>
      </c>
      <c r="G10" s="8">
        <v>50000</v>
      </c>
      <c r="H10" s="8">
        <v>50000</v>
      </c>
      <c r="I10" s="8">
        <v>50000</v>
      </c>
      <c r="J10" s="8">
        <v>50000</v>
      </c>
    </row>
    <row r="11" spans="1:10" x14ac:dyDescent="0.35">
      <c r="B11" s="12"/>
      <c r="C11" s="14" t="s">
        <v>71</v>
      </c>
      <c r="D11" s="15">
        <v>0.28560000000000002</v>
      </c>
      <c r="E11" s="15">
        <v>0.28560000000000002</v>
      </c>
      <c r="F11" s="15">
        <v>0.28560000000000002</v>
      </c>
      <c r="G11" s="15">
        <v>0.28560000000000002</v>
      </c>
      <c r="H11" s="15">
        <v>0.28560000000000002</v>
      </c>
      <c r="I11" s="15">
        <v>0.28560000000000002</v>
      </c>
      <c r="J11" s="15">
        <v>0.28560000000000002</v>
      </c>
    </row>
    <row r="12" spans="1:10" x14ac:dyDescent="0.35">
      <c r="B12" s="12"/>
      <c r="C12" s="14" t="s">
        <v>72</v>
      </c>
      <c r="D12" s="9">
        <f t="shared" ref="D12:J12" si="2">D10*D11</f>
        <v>14280.000000000002</v>
      </c>
      <c r="E12" s="9">
        <f t="shared" si="2"/>
        <v>14280.000000000002</v>
      </c>
      <c r="F12" s="9">
        <f t="shared" si="2"/>
        <v>14280.000000000002</v>
      </c>
      <c r="G12" s="9">
        <f t="shared" si="2"/>
        <v>14280.000000000002</v>
      </c>
      <c r="H12" s="9">
        <f t="shared" si="2"/>
        <v>14280.000000000002</v>
      </c>
      <c r="I12" s="9">
        <f t="shared" si="2"/>
        <v>14280.000000000002</v>
      </c>
      <c r="J12" s="9">
        <f t="shared" si="2"/>
        <v>14280.000000000002</v>
      </c>
    </row>
    <row r="13" spans="1:10" x14ac:dyDescent="0.35">
      <c r="B13" s="12"/>
      <c r="C13" s="14" t="s">
        <v>73</v>
      </c>
      <c r="D13" s="8">
        <v>30</v>
      </c>
      <c r="E13" s="8">
        <v>31</v>
      </c>
      <c r="F13" s="8">
        <v>30</v>
      </c>
      <c r="G13" s="8">
        <v>31</v>
      </c>
      <c r="H13" s="8">
        <v>31</v>
      </c>
      <c r="I13" s="8">
        <v>30</v>
      </c>
      <c r="J13" s="8">
        <v>31</v>
      </c>
    </row>
    <row r="14" spans="1:10" x14ac:dyDescent="0.35">
      <c r="B14" s="12"/>
      <c r="C14" s="14" t="s">
        <v>74</v>
      </c>
      <c r="D14" s="9">
        <f t="shared" ref="D14:J14" si="3">D12*D13</f>
        <v>428400.00000000006</v>
      </c>
      <c r="E14" s="9">
        <f t="shared" si="3"/>
        <v>442680.00000000006</v>
      </c>
      <c r="F14" s="9">
        <f t="shared" si="3"/>
        <v>428400.00000000006</v>
      </c>
      <c r="G14" s="9">
        <f t="shared" si="3"/>
        <v>442680.00000000006</v>
      </c>
      <c r="H14" s="9">
        <f t="shared" si="3"/>
        <v>442680.00000000006</v>
      </c>
      <c r="I14" s="9">
        <f t="shared" si="3"/>
        <v>428400.00000000006</v>
      </c>
      <c r="J14" s="9">
        <f t="shared" si="3"/>
        <v>442680.00000000006</v>
      </c>
    </row>
    <row r="15" spans="1:10" x14ac:dyDescent="0.35"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B16" s="20" t="s">
        <v>62</v>
      </c>
      <c r="C16" s="11">
        <f>C2</f>
        <v>2019</v>
      </c>
      <c r="D16" s="12" t="s">
        <v>75</v>
      </c>
      <c r="E16" s="12" t="s">
        <v>76</v>
      </c>
      <c r="F16" s="12" t="s">
        <v>77</v>
      </c>
      <c r="G16" s="12" t="s">
        <v>78</v>
      </c>
      <c r="H16" s="12" t="s">
        <v>79</v>
      </c>
      <c r="I16" s="12"/>
      <c r="J16" s="12"/>
    </row>
    <row r="17" spans="2:10" x14ac:dyDescent="0.35">
      <c r="B17" s="20" t="s">
        <v>80</v>
      </c>
      <c r="C17" s="14" t="s">
        <v>87</v>
      </c>
      <c r="D17" s="8">
        <v>228000</v>
      </c>
      <c r="E17" s="8">
        <v>228000</v>
      </c>
      <c r="F17" s="8">
        <v>113500</v>
      </c>
      <c r="G17" s="8">
        <v>114500</v>
      </c>
      <c r="H17" s="8">
        <v>229000</v>
      </c>
      <c r="I17" s="12"/>
      <c r="J17" s="12"/>
    </row>
    <row r="18" spans="2:10" x14ac:dyDescent="0.35">
      <c r="B18" s="12"/>
      <c r="C18" s="14" t="s">
        <v>71</v>
      </c>
      <c r="D18" s="15">
        <v>0.5</v>
      </c>
      <c r="E18" s="15">
        <v>0.5</v>
      </c>
      <c r="F18" s="15">
        <v>0.185</v>
      </c>
      <c r="G18" s="15">
        <v>0.185</v>
      </c>
      <c r="H18" s="15">
        <v>0.5</v>
      </c>
      <c r="I18" s="12"/>
      <c r="J18" s="12"/>
    </row>
    <row r="19" spans="2:10" x14ac:dyDescent="0.35">
      <c r="B19" s="12"/>
      <c r="C19" s="14" t="s">
        <v>72</v>
      </c>
      <c r="D19" s="9">
        <f>D17*D18</f>
        <v>114000</v>
      </c>
      <c r="E19" s="9">
        <f>E17*E18</f>
        <v>114000</v>
      </c>
      <c r="F19" s="9">
        <f>F17*F18</f>
        <v>20997.5</v>
      </c>
      <c r="G19" s="9">
        <f>G17*G18</f>
        <v>21182.5</v>
      </c>
      <c r="H19" s="9">
        <f>H17*H18</f>
        <v>114500</v>
      </c>
      <c r="I19" s="12"/>
      <c r="J19" s="12"/>
    </row>
    <row r="20" spans="2:10" x14ac:dyDescent="0.35">
      <c r="B20" s="12"/>
      <c r="C20" s="14" t="s">
        <v>73</v>
      </c>
      <c r="D20" s="8">
        <v>31</v>
      </c>
      <c r="E20" s="8">
        <v>28</v>
      </c>
      <c r="F20" s="8">
        <v>31</v>
      </c>
      <c r="G20" s="8">
        <v>30</v>
      </c>
      <c r="H20" s="8">
        <v>31</v>
      </c>
      <c r="I20" s="12"/>
      <c r="J20" s="12"/>
    </row>
    <row r="21" spans="2:10" x14ac:dyDescent="0.35">
      <c r="B21" s="12"/>
      <c r="C21" s="14" t="s">
        <v>74</v>
      </c>
      <c r="D21" s="9">
        <f>D19*D20</f>
        <v>3534000</v>
      </c>
      <c r="E21" s="9">
        <f>E19*E20</f>
        <v>3192000</v>
      </c>
      <c r="F21" s="9">
        <f>F19*F20</f>
        <v>650922.5</v>
      </c>
      <c r="G21" s="9">
        <f>G19*G20</f>
        <v>635475</v>
      </c>
      <c r="H21" s="9">
        <f>H19*H20</f>
        <v>3549500</v>
      </c>
      <c r="I21" s="16"/>
      <c r="J21" s="12"/>
    </row>
    <row r="22" spans="2:10" x14ac:dyDescent="0.35">
      <c r="B22" s="12"/>
      <c r="C22" s="12"/>
      <c r="D22" s="10"/>
      <c r="E22" s="10"/>
      <c r="F22" s="10"/>
      <c r="G22" s="10"/>
      <c r="H22" s="10"/>
      <c r="I22" s="16"/>
      <c r="J22" s="12"/>
    </row>
    <row r="23" spans="2:10" x14ac:dyDescent="0.3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3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3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35">
      <c r="B26" s="20" t="s">
        <v>81</v>
      </c>
      <c r="C26" s="11" t="str">
        <f>C4</f>
        <v>Demand</v>
      </c>
      <c r="D26" s="12" t="s">
        <v>63</v>
      </c>
      <c r="E26" s="12" t="s">
        <v>64</v>
      </c>
      <c r="F26" s="12" t="s">
        <v>65</v>
      </c>
      <c r="G26" s="12" t="s">
        <v>66</v>
      </c>
      <c r="H26" s="12" t="s">
        <v>67</v>
      </c>
      <c r="I26" s="12" t="s">
        <v>68</v>
      </c>
      <c r="J26" s="12" t="s">
        <v>69</v>
      </c>
    </row>
    <row r="27" spans="2:10" x14ac:dyDescent="0.35">
      <c r="B27" s="20" t="s">
        <v>70</v>
      </c>
      <c r="C27" s="14" t="s">
        <v>85</v>
      </c>
      <c r="D27" s="8">
        <v>72000</v>
      </c>
      <c r="E27" s="8">
        <v>72000</v>
      </c>
      <c r="F27" s="8">
        <v>72000</v>
      </c>
      <c r="G27" s="8">
        <v>72000</v>
      </c>
      <c r="H27" s="8">
        <v>72000</v>
      </c>
      <c r="I27" s="8">
        <v>72000</v>
      </c>
      <c r="J27" s="8">
        <v>72000</v>
      </c>
    </row>
    <row r="28" spans="2:10" x14ac:dyDescent="0.35">
      <c r="B28" s="12"/>
      <c r="C28" s="14" t="s">
        <v>71</v>
      </c>
      <c r="D28" s="15">
        <v>0.34250000000000003</v>
      </c>
      <c r="E28" s="15">
        <v>0.34250000000000003</v>
      </c>
      <c r="F28" s="15">
        <v>0.34250000000000003</v>
      </c>
      <c r="G28" s="15">
        <v>0.34250000000000003</v>
      </c>
      <c r="H28" s="15">
        <v>0.34250000000000003</v>
      </c>
      <c r="I28" s="15">
        <v>0.34250000000000003</v>
      </c>
      <c r="J28" s="15">
        <v>0.34250000000000003</v>
      </c>
    </row>
    <row r="29" spans="2:10" x14ac:dyDescent="0.35">
      <c r="B29" s="12"/>
      <c r="C29" s="14" t="s">
        <v>72</v>
      </c>
      <c r="D29" s="9">
        <f t="shared" ref="D29:J29" si="4">D27*D28</f>
        <v>24660.000000000004</v>
      </c>
      <c r="E29" s="9">
        <f t="shared" si="4"/>
        <v>24660.000000000004</v>
      </c>
      <c r="F29" s="9">
        <f t="shared" si="4"/>
        <v>24660.000000000004</v>
      </c>
      <c r="G29" s="9">
        <f t="shared" si="4"/>
        <v>24660.000000000004</v>
      </c>
      <c r="H29" s="9">
        <f t="shared" si="4"/>
        <v>24660.000000000004</v>
      </c>
      <c r="I29" s="9">
        <f t="shared" si="4"/>
        <v>24660.000000000004</v>
      </c>
      <c r="J29" s="9">
        <f t="shared" si="4"/>
        <v>24660.000000000004</v>
      </c>
    </row>
    <row r="30" spans="2:10" x14ac:dyDescent="0.35">
      <c r="B30" s="12"/>
      <c r="C30" s="14" t="s">
        <v>73</v>
      </c>
      <c r="D30" s="8">
        <v>30</v>
      </c>
      <c r="E30" s="8">
        <v>31</v>
      </c>
      <c r="F30" s="8">
        <v>30</v>
      </c>
      <c r="G30" s="8">
        <v>31</v>
      </c>
      <c r="H30" s="8">
        <v>31</v>
      </c>
      <c r="I30" s="8">
        <v>30</v>
      </c>
      <c r="J30" s="8">
        <v>31</v>
      </c>
    </row>
    <row r="31" spans="2:10" x14ac:dyDescent="0.35">
      <c r="B31" s="12"/>
      <c r="C31" s="14" t="s">
        <v>74</v>
      </c>
      <c r="D31" s="9">
        <f t="shared" ref="D31:J31" si="5">D29*D30</f>
        <v>739800.00000000012</v>
      </c>
      <c r="E31" s="9">
        <f t="shared" si="5"/>
        <v>764460.00000000012</v>
      </c>
      <c r="F31" s="9">
        <f t="shared" si="5"/>
        <v>739800.00000000012</v>
      </c>
      <c r="G31" s="9">
        <f t="shared" si="5"/>
        <v>764460.00000000012</v>
      </c>
      <c r="H31" s="9">
        <f t="shared" si="5"/>
        <v>764460.00000000012</v>
      </c>
      <c r="I31" s="9">
        <f t="shared" si="5"/>
        <v>739800.00000000012</v>
      </c>
      <c r="J31" s="9">
        <f t="shared" si="5"/>
        <v>764460.00000000012</v>
      </c>
    </row>
    <row r="32" spans="2:10" x14ac:dyDescent="0.35">
      <c r="B32" s="12"/>
      <c r="C32" s="12"/>
      <c r="D32" s="10"/>
      <c r="E32" s="10"/>
      <c r="F32" s="10"/>
      <c r="G32" s="10"/>
      <c r="H32" s="10"/>
      <c r="I32" s="10"/>
      <c r="J32" s="10"/>
    </row>
    <row r="33" spans="2:10" x14ac:dyDescent="0.35">
      <c r="B33" s="20" t="s">
        <v>81</v>
      </c>
      <c r="C33" s="11" t="str">
        <f>C4</f>
        <v>Demand</v>
      </c>
      <c r="D33" s="12" t="s">
        <v>63</v>
      </c>
      <c r="E33" s="12" t="s">
        <v>64</v>
      </c>
      <c r="F33" s="12" t="s">
        <v>65</v>
      </c>
      <c r="G33" s="12" t="s">
        <v>66</v>
      </c>
      <c r="H33" s="12" t="s">
        <v>67</v>
      </c>
      <c r="I33" s="12" t="s">
        <v>68</v>
      </c>
      <c r="J33" s="12" t="s">
        <v>69</v>
      </c>
    </row>
    <row r="34" spans="2:10" x14ac:dyDescent="0.35">
      <c r="B34" s="20" t="s">
        <v>70</v>
      </c>
      <c r="C34" s="14" t="s">
        <v>86</v>
      </c>
      <c r="D34" s="8">
        <v>34000</v>
      </c>
      <c r="E34" s="8">
        <v>34000</v>
      </c>
      <c r="F34" s="8">
        <v>34000</v>
      </c>
      <c r="G34" s="8">
        <v>34000</v>
      </c>
      <c r="H34" s="8">
        <v>34000</v>
      </c>
      <c r="I34" s="8">
        <v>34000</v>
      </c>
      <c r="J34" s="8">
        <v>34000</v>
      </c>
    </row>
    <row r="35" spans="2:10" x14ac:dyDescent="0.35">
      <c r="B35" s="12"/>
      <c r="C35" s="14" t="s">
        <v>71</v>
      </c>
      <c r="D35" s="15">
        <v>0.19</v>
      </c>
      <c r="E35" s="15">
        <v>0.19</v>
      </c>
      <c r="F35" s="15">
        <v>0.19</v>
      </c>
      <c r="G35" s="15">
        <v>0.19</v>
      </c>
      <c r="H35" s="15">
        <v>0.19</v>
      </c>
      <c r="I35" s="15">
        <v>0.19</v>
      </c>
      <c r="J35" s="15">
        <v>0.19</v>
      </c>
    </row>
    <row r="36" spans="2:10" x14ac:dyDescent="0.35">
      <c r="B36" s="12"/>
      <c r="C36" s="14" t="s">
        <v>72</v>
      </c>
      <c r="D36" s="9">
        <f t="shared" ref="D36:J36" si="6">D34*D35</f>
        <v>6460</v>
      </c>
      <c r="E36" s="9">
        <f t="shared" si="6"/>
        <v>6460</v>
      </c>
      <c r="F36" s="9">
        <f t="shared" si="6"/>
        <v>6460</v>
      </c>
      <c r="G36" s="9">
        <f t="shared" si="6"/>
        <v>6460</v>
      </c>
      <c r="H36" s="9">
        <f t="shared" si="6"/>
        <v>6460</v>
      </c>
      <c r="I36" s="9">
        <f t="shared" si="6"/>
        <v>6460</v>
      </c>
      <c r="J36" s="9">
        <f t="shared" si="6"/>
        <v>6460</v>
      </c>
    </row>
    <row r="37" spans="2:10" x14ac:dyDescent="0.35">
      <c r="B37" s="12"/>
      <c r="C37" s="14" t="s">
        <v>73</v>
      </c>
      <c r="D37" s="8">
        <v>30</v>
      </c>
      <c r="E37" s="8">
        <v>31</v>
      </c>
      <c r="F37" s="8">
        <v>30</v>
      </c>
      <c r="G37" s="8">
        <v>31</v>
      </c>
      <c r="H37" s="8">
        <v>31</v>
      </c>
      <c r="I37" s="8">
        <v>30</v>
      </c>
      <c r="J37" s="8">
        <v>31</v>
      </c>
    </row>
    <row r="38" spans="2:10" x14ac:dyDescent="0.35">
      <c r="B38" s="12"/>
      <c r="C38" s="14" t="s">
        <v>74</v>
      </c>
      <c r="D38" s="9">
        <f t="shared" ref="D38:J38" si="7">D36*D37</f>
        <v>193800</v>
      </c>
      <c r="E38" s="9">
        <f t="shared" si="7"/>
        <v>200260</v>
      </c>
      <c r="F38" s="9">
        <f t="shared" si="7"/>
        <v>193800</v>
      </c>
      <c r="G38" s="9">
        <f t="shared" si="7"/>
        <v>200260</v>
      </c>
      <c r="H38" s="9">
        <f t="shared" si="7"/>
        <v>200260</v>
      </c>
      <c r="I38" s="9">
        <f t="shared" si="7"/>
        <v>193800</v>
      </c>
      <c r="J38" s="9">
        <f t="shared" si="7"/>
        <v>200260</v>
      </c>
    </row>
    <row r="39" spans="2:10" x14ac:dyDescent="0.3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5">
      <c r="B40" s="20" t="s">
        <v>81</v>
      </c>
      <c r="C40" s="11">
        <v>2019</v>
      </c>
      <c r="D40" s="12" t="s">
        <v>75</v>
      </c>
      <c r="E40" s="12" t="s">
        <v>76</v>
      </c>
      <c r="F40" s="12" t="s">
        <v>77</v>
      </c>
      <c r="G40" s="12" t="s">
        <v>78</v>
      </c>
      <c r="H40" s="12" t="s">
        <v>79</v>
      </c>
      <c r="I40" s="12"/>
      <c r="J40" s="12"/>
    </row>
    <row r="41" spans="2:10" x14ac:dyDescent="0.35">
      <c r="B41" s="20" t="s">
        <v>80</v>
      </c>
      <c r="C41" s="14" t="s">
        <v>87</v>
      </c>
      <c r="D41" s="8">
        <v>107000</v>
      </c>
      <c r="E41" s="8">
        <v>107000</v>
      </c>
      <c r="F41" s="8">
        <v>107000</v>
      </c>
      <c r="G41" s="8">
        <v>107000</v>
      </c>
      <c r="H41" s="8">
        <v>107000</v>
      </c>
      <c r="I41" s="12"/>
      <c r="J41" s="12"/>
    </row>
    <row r="42" spans="2:10" x14ac:dyDescent="0.35">
      <c r="B42" s="12"/>
      <c r="C42" s="14" t="s">
        <v>71</v>
      </c>
      <c r="D42" s="15">
        <v>0.375</v>
      </c>
      <c r="E42" s="15">
        <v>0.375</v>
      </c>
      <c r="F42" s="15">
        <v>0.375</v>
      </c>
      <c r="G42" s="15">
        <v>0.375</v>
      </c>
      <c r="H42" s="15">
        <v>0.375</v>
      </c>
      <c r="I42" s="12"/>
      <c r="J42" s="12"/>
    </row>
    <row r="43" spans="2:10" x14ac:dyDescent="0.35">
      <c r="B43" s="12"/>
      <c r="C43" s="14" t="s">
        <v>72</v>
      </c>
      <c r="D43" s="9">
        <f>D41*D42</f>
        <v>40125</v>
      </c>
      <c r="E43" s="9">
        <f>E41*E42</f>
        <v>40125</v>
      </c>
      <c r="F43" s="9">
        <f>F41*F42</f>
        <v>40125</v>
      </c>
      <c r="G43" s="9">
        <f>G41*G42</f>
        <v>40125</v>
      </c>
      <c r="H43" s="9">
        <f>H41*H42</f>
        <v>40125</v>
      </c>
      <c r="I43" s="12"/>
      <c r="J43" s="12"/>
    </row>
    <row r="44" spans="2:10" x14ac:dyDescent="0.35">
      <c r="B44" s="12"/>
      <c r="C44" s="14" t="s">
        <v>73</v>
      </c>
      <c r="D44" s="8">
        <v>31</v>
      </c>
      <c r="E44" s="8">
        <v>28</v>
      </c>
      <c r="F44" s="8">
        <v>31</v>
      </c>
      <c r="G44" s="8">
        <v>30</v>
      </c>
      <c r="H44" s="8">
        <v>31</v>
      </c>
      <c r="I44" s="12"/>
      <c r="J44" s="12"/>
    </row>
    <row r="45" spans="2:10" x14ac:dyDescent="0.35">
      <c r="B45" s="12"/>
      <c r="C45" s="14" t="s">
        <v>74</v>
      </c>
      <c r="D45" s="9">
        <f>D43*D44</f>
        <v>1243875</v>
      </c>
      <c r="E45" s="9">
        <f>E43*E44</f>
        <v>1123500</v>
      </c>
      <c r="F45" s="9">
        <f>F43*F44</f>
        <v>1243875</v>
      </c>
      <c r="G45" s="9">
        <f>G43*G44</f>
        <v>1203750</v>
      </c>
      <c r="H45" s="9">
        <f>H43*H44</f>
        <v>1243875</v>
      </c>
      <c r="I45" s="16"/>
      <c r="J45" s="12"/>
    </row>
    <row r="46" spans="2:10" x14ac:dyDescent="0.3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35">
      <c r="B47" s="13"/>
      <c r="C47" s="13" t="s">
        <v>83</v>
      </c>
      <c r="D47" s="13" t="s">
        <v>84</v>
      </c>
      <c r="E47" s="13"/>
      <c r="F47" s="13"/>
      <c r="G47" s="13"/>
      <c r="H47" s="13"/>
      <c r="I47" s="13"/>
      <c r="J47" s="13"/>
    </row>
    <row r="48" spans="2:10" x14ac:dyDescent="0.35">
      <c r="B48" s="13" t="s">
        <v>88</v>
      </c>
      <c r="C48" s="17">
        <f>SUM(D31:J31,D38:J38,D45:H45)</f>
        <v>12718555</v>
      </c>
      <c r="D48" s="17">
        <f>SUM(D7:J7,D14:J14,D21:H21)</f>
        <v>22974517.5</v>
      </c>
      <c r="E48" s="13"/>
      <c r="F48" s="13"/>
      <c r="G48" s="13"/>
      <c r="H48" s="13"/>
      <c r="I48" s="13"/>
      <c r="J48" s="13"/>
    </row>
    <row r="49" spans="2:10" x14ac:dyDescent="0.35">
      <c r="B49" s="13" t="s">
        <v>89</v>
      </c>
      <c r="C49" s="18">
        <f>AVERAGE(662,683)</f>
        <v>672.5</v>
      </c>
      <c r="D49" s="18">
        <f>AVERAGE(159,179)*6</f>
        <v>1014</v>
      </c>
      <c r="E49" s="13"/>
      <c r="F49" s="13"/>
      <c r="G49" s="13"/>
      <c r="H49" s="13"/>
      <c r="I49" s="13"/>
      <c r="J49" s="13"/>
    </row>
    <row r="50" spans="2:10" x14ac:dyDescent="0.35">
      <c r="B50" s="13" t="s">
        <v>82</v>
      </c>
      <c r="C50" s="19">
        <f>C48/C49/1000</f>
        <v>18.912349442379181</v>
      </c>
      <c r="D50" s="19">
        <f>D48/D49/1000</f>
        <v>22.657315088757397</v>
      </c>
      <c r="E50" s="13"/>
      <c r="F50" s="13"/>
      <c r="G50" s="13"/>
      <c r="H50" s="13"/>
      <c r="I50" s="13"/>
      <c r="J50" s="13"/>
    </row>
  </sheetData>
  <pageMargins left="1" right="1" top="1.5" bottom="1" header="0.5" footer="0.5"/>
  <pageSetup scale="61" fitToHeight="0" orientation="portrait" r:id="rId1"/>
  <headerFooter scaleWithDoc="0">
    <oddHeader xml:space="preserve">&amp;R&amp;"Times New Roman,Bold"&amp;12 Case No. 2021-00393
Attachment to Response to JI-2 Question No. 17
Page &amp;P of &amp;N
Wilson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A5D2-43AA-444D-9D3F-19AA9DFE7D4F}">
  <sheetPr>
    <pageSetUpPr fitToPage="1"/>
  </sheetPr>
  <dimension ref="B2:G60"/>
  <sheetViews>
    <sheetView zoomScaleNormal="100" workbookViewId="0"/>
  </sheetViews>
  <sheetFormatPr defaultRowHeight="14.5" x14ac:dyDescent="0.35"/>
  <cols>
    <col min="1" max="1" width="8.7265625" style="13"/>
    <col min="2" max="2" width="44.7265625" style="13" bestFit="1" customWidth="1"/>
    <col min="3" max="3" width="12.1796875" style="13" bestFit="1" customWidth="1"/>
    <col min="4" max="4" width="12.81640625" style="13" bestFit="1" customWidth="1"/>
    <col min="5" max="5" width="12" style="13" bestFit="1" customWidth="1"/>
    <col min="6" max="6" width="44.7265625" style="13" bestFit="1" customWidth="1"/>
    <col min="7" max="7" width="12.1796875" style="13" bestFit="1" customWidth="1"/>
    <col min="8" max="16384" width="8.7265625" style="13"/>
  </cols>
  <sheetData>
    <row r="2" spans="2:6" x14ac:dyDescent="0.35">
      <c r="B2" s="13" t="s">
        <v>94</v>
      </c>
      <c r="D2" s="37">
        <v>0.02</v>
      </c>
    </row>
    <row r="3" spans="2:6" x14ac:dyDescent="0.35">
      <c r="B3" s="13" t="s">
        <v>95</v>
      </c>
      <c r="D3" s="13">
        <v>2019</v>
      </c>
    </row>
    <row r="5" spans="2:6" x14ac:dyDescent="0.35">
      <c r="C5" s="13" t="s">
        <v>96</v>
      </c>
      <c r="D5" s="13" t="s">
        <v>97</v>
      </c>
      <c r="E5" s="13" t="s">
        <v>98</v>
      </c>
      <c r="F5" s="13" t="s">
        <v>99</v>
      </c>
    </row>
    <row r="6" spans="2:6" x14ac:dyDescent="0.35">
      <c r="B6" s="13" t="s">
        <v>100</v>
      </c>
      <c r="C6" s="38">
        <v>8162209</v>
      </c>
      <c r="D6" s="39">
        <v>2010</v>
      </c>
      <c r="E6" s="25">
        <f>C6*(1+$D$2)^($D$3-D6)</f>
        <v>9754595.3194421437</v>
      </c>
      <c r="F6" s="13" t="s">
        <v>101</v>
      </c>
    </row>
    <row r="7" spans="2:6" x14ac:dyDescent="0.35">
      <c r="B7" s="13" t="s">
        <v>102</v>
      </c>
      <c r="C7" s="38">
        <v>11131715</v>
      </c>
      <c r="D7" s="39">
        <v>2011</v>
      </c>
      <c r="E7" s="25">
        <f t="shared" ref="E7:E12" si="0">C7*(1+$D$2)^($D$3-D7)</f>
        <v>13042578.306393635</v>
      </c>
      <c r="F7" s="13" t="s">
        <v>101</v>
      </c>
    </row>
    <row r="8" spans="2:6" x14ac:dyDescent="0.35">
      <c r="B8" s="13" t="s">
        <v>103</v>
      </c>
      <c r="C8" s="38">
        <v>4323329</v>
      </c>
      <c r="D8" s="39">
        <v>2011</v>
      </c>
      <c r="E8" s="25">
        <f t="shared" si="0"/>
        <v>5065468.9800091432</v>
      </c>
      <c r="F8" s="13" t="s">
        <v>101</v>
      </c>
    </row>
    <row r="9" spans="2:6" x14ac:dyDescent="0.35">
      <c r="B9" s="13" t="s">
        <v>104</v>
      </c>
      <c r="C9" s="38">
        <v>4049066</v>
      </c>
      <c r="D9" s="39">
        <v>2012</v>
      </c>
      <c r="E9" s="25">
        <f t="shared" si="0"/>
        <v>4651104.0815659985</v>
      </c>
      <c r="F9" s="13" t="s">
        <v>101</v>
      </c>
    </row>
    <row r="10" spans="2:6" x14ac:dyDescent="0.35">
      <c r="B10" s="13" t="s">
        <v>105</v>
      </c>
      <c r="C10" s="38">
        <v>3847708</v>
      </c>
      <c r="D10" s="39">
        <v>2012</v>
      </c>
      <c r="E10" s="25">
        <f t="shared" si="0"/>
        <v>4419807.0328994747</v>
      </c>
      <c r="F10" s="13" t="s">
        <v>101</v>
      </c>
    </row>
    <row r="11" spans="2:6" x14ac:dyDescent="0.35">
      <c r="B11" s="13" t="s">
        <v>106</v>
      </c>
      <c r="C11" s="38">
        <v>3814905</v>
      </c>
      <c r="D11" s="39">
        <v>2013</v>
      </c>
      <c r="E11" s="25">
        <f t="shared" si="0"/>
        <v>4296202.64406233</v>
      </c>
      <c r="F11" s="13" t="s">
        <v>101</v>
      </c>
    </row>
    <row r="12" spans="2:6" x14ac:dyDescent="0.35">
      <c r="B12" s="13" t="s">
        <v>107</v>
      </c>
      <c r="C12" s="38">
        <v>5420850</v>
      </c>
      <c r="D12" s="39">
        <v>2021</v>
      </c>
      <c r="E12" s="25">
        <f t="shared" si="0"/>
        <v>5210351.7877739333</v>
      </c>
      <c r="F12" s="13" t="s">
        <v>108</v>
      </c>
    </row>
    <row r="13" spans="2:6" x14ac:dyDescent="0.35">
      <c r="B13" s="13" t="s">
        <v>109</v>
      </c>
      <c r="C13" s="39"/>
      <c r="D13" s="40"/>
      <c r="E13" s="25">
        <f>AVERAGE(E6:E12)</f>
        <v>6634301.1645923788</v>
      </c>
    </row>
    <row r="14" spans="2:6" x14ac:dyDescent="0.35">
      <c r="B14" s="13" t="s">
        <v>110</v>
      </c>
      <c r="C14" s="38">
        <v>3923977</v>
      </c>
      <c r="D14" s="39">
        <v>2016</v>
      </c>
      <c r="E14" s="25">
        <f>C14*(1+$D$2)^($D$3-D14)</f>
        <v>4164155.7842159998</v>
      </c>
      <c r="F14" s="13" t="s">
        <v>101</v>
      </c>
    </row>
    <row r="15" spans="2:6" x14ac:dyDescent="0.35">
      <c r="B15" s="13" t="s">
        <v>111</v>
      </c>
      <c r="C15" s="38">
        <v>4078916</v>
      </c>
      <c r="D15" s="39">
        <v>2017</v>
      </c>
      <c r="E15" s="25">
        <f t="shared" ref="E15:E24" si="1">C15*(1+$D$2)^($D$3-D15)</f>
        <v>4243704.2063999996</v>
      </c>
      <c r="F15" s="13" t="s">
        <v>101</v>
      </c>
    </row>
    <row r="16" spans="2:6" x14ac:dyDescent="0.35">
      <c r="B16" s="13" t="s">
        <v>112</v>
      </c>
      <c r="C16" s="38">
        <v>4167543</v>
      </c>
      <c r="D16" s="39">
        <v>2018</v>
      </c>
      <c r="E16" s="25">
        <f t="shared" si="1"/>
        <v>4250893.8600000003</v>
      </c>
      <c r="F16" s="13" t="s">
        <v>101</v>
      </c>
    </row>
    <row r="17" spans="2:7" x14ac:dyDescent="0.35">
      <c r="B17" s="13" t="s">
        <v>113</v>
      </c>
      <c r="C17" s="38">
        <v>4317446</v>
      </c>
      <c r="D17" s="39">
        <v>2016</v>
      </c>
      <c r="E17" s="25">
        <f t="shared" si="1"/>
        <v>4581708.2347679995</v>
      </c>
      <c r="F17" s="13" t="s">
        <v>140</v>
      </c>
    </row>
    <row r="18" spans="2:7" x14ac:dyDescent="0.35">
      <c r="B18" s="13" t="s">
        <v>114</v>
      </c>
      <c r="C18" s="38">
        <v>3554101.0047846888</v>
      </c>
      <c r="D18" s="39">
        <v>2016</v>
      </c>
      <c r="E18" s="25">
        <f t="shared" si="1"/>
        <v>3771640.4190855497</v>
      </c>
      <c r="F18" s="13" t="s">
        <v>140</v>
      </c>
    </row>
    <row r="19" spans="2:7" x14ac:dyDescent="0.35">
      <c r="B19" s="13" t="s">
        <v>115</v>
      </c>
      <c r="C19" s="38">
        <v>3554101.0047846888</v>
      </c>
      <c r="D19" s="39">
        <v>2016</v>
      </c>
      <c r="E19" s="25">
        <f t="shared" si="1"/>
        <v>3771640.4190855497</v>
      </c>
      <c r="F19" s="13" t="s">
        <v>140</v>
      </c>
    </row>
    <row r="20" spans="2:7" x14ac:dyDescent="0.35">
      <c r="B20" s="13" t="s">
        <v>116</v>
      </c>
      <c r="D20" s="40"/>
      <c r="E20" s="25">
        <f>AVERAGE(E14:E19)</f>
        <v>4130623.820592517</v>
      </c>
    </row>
    <row r="21" spans="2:7" x14ac:dyDescent="0.35">
      <c r="B21" s="13" t="s">
        <v>117</v>
      </c>
      <c r="C21" s="38">
        <f>9734068.12*(1-0.4)</f>
        <v>5840440.8719999995</v>
      </c>
      <c r="D21" s="39">
        <v>2016</v>
      </c>
      <c r="E21" s="25">
        <f t="shared" si="1"/>
        <v>6197922.5768933753</v>
      </c>
      <c r="F21" s="13" t="s">
        <v>142</v>
      </c>
    </row>
    <row r="22" spans="2:7" x14ac:dyDescent="0.35">
      <c r="B22" s="13" t="s">
        <v>118</v>
      </c>
      <c r="C22" s="38">
        <f>26223716.28*(1-0.4)</f>
        <v>15734229.767999999</v>
      </c>
      <c r="D22" s="39">
        <v>2016</v>
      </c>
      <c r="E22" s="25">
        <f t="shared" si="1"/>
        <v>16697290.503639743</v>
      </c>
      <c r="F22" s="13" t="s">
        <v>142</v>
      </c>
    </row>
    <row r="23" spans="2:7" x14ac:dyDescent="0.35">
      <c r="B23" s="13" t="s">
        <v>119</v>
      </c>
      <c r="C23" s="38">
        <v>-1618000</v>
      </c>
      <c r="D23" s="39">
        <v>2021</v>
      </c>
      <c r="E23" s="25">
        <f t="shared" si="1"/>
        <v>-1555171.0880430604</v>
      </c>
      <c r="F23" s="13" t="s">
        <v>141</v>
      </c>
    </row>
    <row r="24" spans="2:7" x14ac:dyDescent="0.35">
      <c r="B24" s="13" t="s">
        <v>120</v>
      </c>
      <c r="C24" s="38">
        <v>7020800</v>
      </c>
      <c r="D24" s="39">
        <v>2021</v>
      </c>
      <c r="E24" s="25">
        <f t="shared" si="1"/>
        <v>6748173.7793156486</v>
      </c>
      <c r="F24" s="13" t="s">
        <v>121</v>
      </c>
    </row>
    <row r="29" spans="2:7" x14ac:dyDescent="0.35">
      <c r="C29" s="13" t="s">
        <v>122</v>
      </c>
      <c r="G29" s="13" t="s">
        <v>123</v>
      </c>
    </row>
    <row r="30" spans="2:7" x14ac:dyDescent="0.35">
      <c r="C30" s="13" t="s">
        <v>98</v>
      </c>
      <c r="G30" s="13" t="s">
        <v>98</v>
      </c>
    </row>
    <row r="31" spans="2:7" x14ac:dyDescent="0.35">
      <c r="B31" s="41" t="s">
        <v>124</v>
      </c>
      <c r="C31" s="26">
        <f>E13</f>
        <v>6634301.1645923788</v>
      </c>
      <c r="E31" s="41"/>
      <c r="F31" s="41" t="s">
        <v>124</v>
      </c>
      <c r="G31" s="26">
        <f>E13</f>
        <v>6634301.1645923788</v>
      </c>
    </row>
    <row r="32" spans="2:7" x14ac:dyDescent="0.35">
      <c r="C32" s="25"/>
      <c r="G32" s="25"/>
    </row>
    <row r="33" spans="2:7" x14ac:dyDescent="0.35">
      <c r="B33" s="41" t="s">
        <v>125</v>
      </c>
      <c r="C33" s="26">
        <f>E20</f>
        <v>4130623.820592517</v>
      </c>
      <c r="E33" s="41"/>
      <c r="F33" s="41" t="s">
        <v>125</v>
      </c>
      <c r="G33" s="26">
        <f>E20</f>
        <v>4130623.820592517</v>
      </c>
    </row>
    <row r="34" spans="2:7" x14ac:dyDescent="0.35">
      <c r="C34" s="25"/>
    </row>
    <row r="35" spans="2:7" x14ac:dyDescent="0.35">
      <c r="B35" s="41" t="s">
        <v>126</v>
      </c>
      <c r="C35" s="26">
        <f>SUM(C36:C42)</f>
        <v>38194768.630037896</v>
      </c>
      <c r="E35" s="41"/>
      <c r="F35" s="41" t="s">
        <v>127</v>
      </c>
      <c r="G35" s="26">
        <f>SUM(G36:G41)</f>
        <v>28017732.394390833</v>
      </c>
    </row>
    <row r="36" spans="2:7" x14ac:dyDescent="0.35">
      <c r="B36" s="42" t="s">
        <v>128</v>
      </c>
      <c r="C36" s="25">
        <f>E13</f>
        <v>6634301.1645923788</v>
      </c>
      <c r="F36" s="42" t="s">
        <v>129</v>
      </c>
      <c r="G36" s="25">
        <f>E20</f>
        <v>4130623.820592517</v>
      </c>
    </row>
    <row r="37" spans="2:7" x14ac:dyDescent="0.35">
      <c r="B37" s="42" t="s">
        <v>119</v>
      </c>
      <c r="C37" s="25">
        <f>E23</f>
        <v>-1555171.0880430604</v>
      </c>
      <c r="F37" s="42" t="s">
        <v>119</v>
      </c>
      <c r="G37" s="25">
        <f>E23</f>
        <v>-1555171.0880430604</v>
      </c>
    </row>
    <row r="38" spans="2:7" x14ac:dyDescent="0.35">
      <c r="B38" s="42" t="s">
        <v>117</v>
      </c>
      <c r="C38" s="25">
        <f>E21</f>
        <v>6197922.5768933753</v>
      </c>
      <c r="F38" s="42" t="s">
        <v>117</v>
      </c>
      <c r="G38" s="25">
        <f>E21</f>
        <v>6197922.5768933753</v>
      </c>
    </row>
    <row r="39" spans="2:7" x14ac:dyDescent="0.35">
      <c r="B39" s="42" t="s">
        <v>118</v>
      </c>
      <c r="C39" s="25">
        <f>E22</f>
        <v>16697290.503639743</v>
      </c>
      <c r="F39" s="42" t="s">
        <v>118</v>
      </c>
      <c r="G39" s="25">
        <f>E22</f>
        <v>16697290.503639743</v>
      </c>
    </row>
    <row r="40" spans="2:7" x14ac:dyDescent="0.35">
      <c r="B40" s="42" t="s">
        <v>130</v>
      </c>
      <c r="C40" s="25">
        <f>E24</f>
        <v>6748173.7793156486</v>
      </c>
      <c r="F40" s="42" t="s">
        <v>131</v>
      </c>
      <c r="G40" s="25">
        <f>SUM(G36:G39)*0.1</f>
        <v>2547066.5813082578</v>
      </c>
    </row>
    <row r="41" spans="2:7" x14ac:dyDescent="0.35">
      <c r="B41" s="42" t="s">
        <v>131</v>
      </c>
      <c r="C41" s="25">
        <f>SUM(C36:C40)*0.1</f>
        <v>3472251.6936398093</v>
      </c>
      <c r="F41" s="42"/>
      <c r="G41" s="25"/>
    </row>
    <row r="42" spans="2:7" x14ac:dyDescent="0.35">
      <c r="B42" s="42"/>
      <c r="C42" s="25"/>
    </row>
    <row r="43" spans="2:7" x14ac:dyDescent="0.35">
      <c r="C43" s="25"/>
      <c r="G43" s="25"/>
    </row>
    <row r="44" spans="2:7" x14ac:dyDescent="0.35">
      <c r="B44" s="41" t="s">
        <v>132</v>
      </c>
      <c r="C44" s="26">
        <f>E20</f>
        <v>4130623.820592517</v>
      </c>
      <c r="E44" s="41"/>
      <c r="F44" s="41" t="s">
        <v>126</v>
      </c>
      <c r="G44" s="26">
        <f>SUM(G45:G48)</f>
        <v>14720722.438298831</v>
      </c>
    </row>
    <row r="45" spans="2:7" x14ac:dyDescent="0.35">
      <c r="C45" s="25"/>
      <c r="F45" s="42" t="s">
        <v>128</v>
      </c>
      <c r="G45" s="25">
        <f>E13</f>
        <v>6634301.1645923788</v>
      </c>
    </row>
    <row r="46" spans="2:7" x14ac:dyDescent="0.35">
      <c r="C46" s="25"/>
      <c r="F46" s="42" t="s">
        <v>130</v>
      </c>
      <c r="G46" s="25">
        <f>E24</f>
        <v>6748173.7793156486</v>
      </c>
    </row>
    <row r="47" spans="2:7" x14ac:dyDescent="0.35">
      <c r="C47" s="25"/>
      <c r="F47" s="42" t="s">
        <v>131</v>
      </c>
      <c r="G47" s="25">
        <f>SUM(G45:G46)*0.1</f>
        <v>1338247.4943908029</v>
      </c>
    </row>
    <row r="48" spans="2:7" x14ac:dyDescent="0.35">
      <c r="C48" s="25"/>
      <c r="F48" s="42"/>
      <c r="G48" s="25"/>
    </row>
    <row r="49" spans="2:7" x14ac:dyDescent="0.35">
      <c r="C49" s="25"/>
      <c r="G49" s="25"/>
    </row>
    <row r="50" spans="2:7" x14ac:dyDescent="0.35">
      <c r="B50" s="41" t="s">
        <v>133</v>
      </c>
      <c r="C50" s="26">
        <f>E20</f>
        <v>4130623.820592517</v>
      </c>
      <c r="E50" s="41"/>
      <c r="F50" s="41" t="s">
        <v>133</v>
      </c>
      <c r="G50" s="26">
        <f>E20</f>
        <v>4130623.820592517</v>
      </c>
    </row>
    <row r="53" spans="2:7" x14ac:dyDescent="0.35">
      <c r="B53" s="41" t="s">
        <v>134</v>
      </c>
      <c r="C53" s="43">
        <f>C31+C33+C35+C44+C50</f>
        <v>57220941.256407827</v>
      </c>
      <c r="E53" s="41"/>
      <c r="F53" s="41"/>
      <c r="G53" s="43">
        <f>G31+G33+G35+G44+G50</f>
        <v>57634003.638467073</v>
      </c>
    </row>
    <row r="56" spans="2:7" x14ac:dyDescent="0.35">
      <c r="B56" s="13" t="s">
        <v>135</v>
      </c>
      <c r="C56" s="18">
        <v>5157.7657235580746</v>
      </c>
    </row>
    <row r="57" spans="2:7" x14ac:dyDescent="0.35">
      <c r="B57" s="13" t="s">
        <v>136</v>
      </c>
      <c r="C57" s="44">
        <f>(C53*2+G53*4)/6</f>
        <v>57496316.177780658</v>
      </c>
    </row>
    <row r="58" spans="2:7" x14ac:dyDescent="0.35">
      <c r="B58" s="13" t="s">
        <v>137</v>
      </c>
      <c r="C58" s="45">
        <f>C57/C56</f>
        <v>11147.5238037987</v>
      </c>
    </row>
    <row r="59" spans="2:7" x14ac:dyDescent="0.35">
      <c r="B59" s="13" t="s">
        <v>138</v>
      </c>
      <c r="C59" s="18">
        <f>AVERAGE(179,159)</f>
        <v>169</v>
      </c>
    </row>
    <row r="60" spans="2:7" x14ac:dyDescent="0.35">
      <c r="B60" s="13" t="s">
        <v>139</v>
      </c>
      <c r="C60" s="45">
        <f>C58/12/C59</f>
        <v>5.4968066093681953</v>
      </c>
    </row>
  </sheetData>
  <pageMargins left="1" right="1" top="1.5" bottom="1" header="0.5" footer="0.5"/>
  <pageSetup scale="56" fitToHeight="0" orientation="portrait" r:id="rId1"/>
  <headerFooter scaleWithDoc="0">
    <oddHeader xml:space="preserve">&amp;R&amp;"Times New Roman,Bold"&amp;12 Case No. 2021-00393
Attachment to Response to JI-2 Question No. 17
Page &amp;P of &amp;N
Wilson
</oddHeader>
  </headerFooter>
  <ignoredErrors>
    <ignoredError sqref="E13 E20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Multiple</Witness_x0020_Testimony>
    <Year xmlns="65bfb563-8fe2-4d34-a09f-38a217d8feea">2021</Year>
    <Review_x0020_Case_x0020_Doc_x0020_Types xmlns="65bfb563-8fe2-4d34-a09f-38a217d8feea">03 - 2nd Data Request</Review_x0020_Case_x0020_Doc_x0020_Types>
    <Case_x0020__x0023_ xmlns="f789fa03-9022-4931-acb2-79f11ac92edf">2021-00393</Case_x0020__x0023_>
    <Data_x0020_Request_x0020_Party xmlns="f789fa03-9022-4931-acb2-79f11ac92edf">Metro. Housing Coalition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F28547AF-A12E-46AF-806D-BAAA8192BD0B}"/>
</file>

<file path=customXml/itemProps2.xml><?xml version="1.0" encoding="utf-8"?>
<ds:datastoreItem xmlns:ds="http://schemas.openxmlformats.org/officeDocument/2006/customXml" ds:itemID="{7CF6B3DE-F8DB-46BF-804C-BD5995F75E65}"/>
</file>

<file path=customXml/itemProps3.xml><?xml version="1.0" encoding="utf-8"?>
<ds:datastoreItem xmlns:ds="http://schemas.openxmlformats.org/officeDocument/2006/customXml" ds:itemID="{332F3230-26B9-4465-850D-90512DA5D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Capital</vt:lpstr>
      <vt:lpstr>Fixed O&amp;M</vt:lpstr>
      <vt:lpstr>Firm Gas Transport</vt:lpstr>
      <vt:lpstr>Start Cost</vt:lpstr>
      <vt:lpstr>Capital!Print_Titles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Schetzel, Doug</dc:creator>
  <cp:lastModifiedBy>McKinney, Adam</cp:lastModifiedBy>
  <cp:lastPrinted>2022-03-17T16:31:23Z</cp:lastPrinted>
  <dcterms:created xsi:type="dcterms:W3CDTF">2020-01-30T19:44:56Z</dcterms:created>
  <dcterms:modified xsi:type="dcterms:W3CDTF">2022-03-17T16:31:27Z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2022-03-16T19:13:09Z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0c5482c4-5dae-48e0-8f76-46132290be3d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0x010100D7BAB922A9B45241A012E239AFE9F199</vt:lpwstr>
  </property>
</Properties>
</file>